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1370" windowHeight="9255" activeTab="1"/>
  </bookViews>
  <sheets>
    <sheet name="брянск" sheetId="9" r:id="rId1"/>
    <sheet name="Интерактивная карта" sheetId="12" r:id="rId2"/>
    <sheet name="Свод тек.деф.зима" sheetId="10" r:id="rId3"/>
    <sheet name="Свод.ожид.тек.зима" sheetId="11" r:id="rId4"/>
  </sheets>
  <definedNames>
    <definedName name="_xlnm._FilterDatabase" localSheetId="0" hidden="1">брянск!$A$6:$AC$198</definedName>
  </definedNames>
  <calcPr calcId="145621"/>
</workbook>
</file>

<file path=xl/calcChain.xml><?xml version="1.0" encoding="utf-8"?>
<calcChain xmlns="http://schemas.openxmlformats.org/spreadsheetml/2006/main">
  <c r="C196" i="9" l="1"/>
  <c r="C149" i="12" l="1"/>
  <c r="C146" i="12" l="1"/>
  <c r="C140" i="12"/>
  <c r="C134" i="12"/>
  <c r="C133" i="12"/>
  <c r="C126" i="12"/>
  <c r="C107" i="12"/>
  <c r="C106" i="12"/>
  <c r="C104" i="12"/>
  <c r="C98" i="12"/>
  <c r="C90" i="12"/>
  <c r="C120" i="12"/>
  <c r="C59" i="12"/>
  <c r="C55" i="12"/>
  <c r="C118" i="12"/>
  <c r="C96" i="12"/>
  <c r="C77" i="12"/>
  <c r="C75" i="12"/>
  <c r="C65" i="12"/>
  <c r="C60" i="12"/>
  <c r="C54" i="12"/>
  <c r="C50" i="12"/>
  <c r="C94" i="12"/>
  <c r="C85" i="12"/>
  <c r="C74" i="12"/>
  <c r="C72" i="12"/>
  <c r="C87" i="12"/>
  <c r="C84" i="12"/>
  <c r="C82" i="12"/>
  <c r="C76" i="12"/>
  <c r="C67" i="12"/>
  <c r="C62" i="12"/>
  <c r="C58" i="12"/>
  <c r="C56" i="12"/>
  <c r="C47" i="12"/>
  <c r="C44" i="12"/>
  <c r="C150" i="12"/>
  <c r="C147" i="12"/>
  <c r="C143" i="12"/>
  <c r="C141" i="12"/>
  <c r="C138" i="12"/>
  <c r="C135" i="12"/>
  <c r="C128" i="12"/>
  <c r="C125" i="12"/>
  <c r="C119" i="12"/>
  <c r="C113" i="12"/>
  <c r="C103" i="12"/>
  <c r="C102" i="12"/>
  <c r="C93" i="12"/>
  <c r="C81" i="12"/>
  <c r="C78" i="12"/>
  <c r="C131" i="12"/>
  <c r="C129" i="12"/>
  <c r="C123" i="12"/>
  <c r="C144" i="12"/>
  <c r="C137" i="12"/>
  <c r="C136" i="12"/>
  <c r="C127" i="12"/>
  <c r="C121" i="12"/>
  <c r="C112" i="12"/>
  <c r="C101" i="12"/>
  <c r="C79" i="12"/>
  <c r="C70" i="12"/>
  <c r="C68" i="12"/>
  <c r="C53" i="12"/>
  <c r="C49" i="12"/>
  <c r="C66" i="12"/>
  <c r="C80" i="12"/>
  <c r="C52" i="12"/>
  <c r="C51" i="12"/>
  <c r="C48" i="12"/>
  <c r="C42" i="12"/>
  <c r="C132" i="12"/>
  <c r="C109" i="12"/>
  <c r="C95" i="12"/>
  <c r="C91" i="12"/>
  <c r="C139" i="12"/>
  <c r="C130" i="12"/>
  <c r="C124" i="12"/>
  <c r="C117" i="12"/>
  <c r="C115" i="12"/>
  <c r="C111" i="12"/>
  <c r="C110" i="12"/>
  <c r="C108" i="12"/>
  <c r="C99" i="12"/>
  <c r="C97" i="12"/>
  <c r="C92" i="12"/>
  <c r="C148" i="12"/>
  <c r="C114" i="12"/>
  <c r="C100" i="12"/>
  <c r="C71" i="12"/>
  <c r="C64" i="12"/>
  <c r="C63" i="12"/>
  <c r="C73" i="12"/>
  <c r="C46" i="12"/>
  <c r="C40" i="12"/>
  <c r="C122" i="12"/>
  <c r="C69" i="12"/>
  <c r="C57" i="12"/>
  <c r="C45" i="12"/>
  <c r="C145" i="12"/>
  <c r="C142" i="12"/>
  <c r="C116" i="12"/>
  <c r="C105" i="12"/>
  <c r="C89" i="12"/>
  <c r="C88" i="12"/>
  <c r="C86" i="12"/>
  <c r="C83" i="12"/>
  <c r="C61" i="12"/>
  <c r="C43" i="12"/>
  <c r="C41" i="12"/>
  <c r="T41" i="9"/>
  <c r="T38" i="9"/>
  <c r="T37" i="9"/>
  <c r="T31" i="9"/>
  <c r="T28" i="9"/>
  <c r="T195" i="9"/>
  <c r="T181" i="9"/>
  <c r="T176" i="9"/>
  <c r="T169" i="9"/>
  <c r="T174" i="9"/>
  <c r="T157" i="9"/>
  <c r="T156" i="9"/>
  <c r="T154" i="9"/>
  <c r="T145" i="9"/>
  <c r="T144" i="9"/>
  <c r="T140" i="9"/>
  <c r="T135" i="9"/>
  <c r="T128" i="9"/>
  <c r="T106" i="9"/>
  <c r="T105" i="9"/>
  <c r="T92" i="9"/>
  <c r="T90" i="9"/>
  <c r="T88" i="9"/>
  <c r="T86" i="9"/>
  <c r="T78" i="9"/>
  <c r="T73" i="9"/>
  <c r="T68" i="9"/>
  <c r="T56" i="9"/>
  <c r="T54" i="9"/>
  <c r="C151" i="12" l="1"/>
  <c r="T120" i="9"/>
  <c r="G63" i="9" l="1"/>
  <c r="G126" i="9"/>
  <c r="G125" i="9" s="1"/>
  <c r="E126" i="9"/>
  <c r="E125" i="9" s="1"/>
  <c r="D126" i="9"/>
  <c r="D125" i="9" s="1"/>
  <c r="G122" i="9"/>
  <c r="G121" i="9" s="1"/>
  <c r="E122" i="9"/>
  <c r="E121" i="9" s="1"/>
  <c r="D122" i="9"/>
  <c r="D121" i="9" s="1"/>
  <c r="E117" i="9" l="1"/>
  <c r="D117" i="9"/>
  <c r="G114" i="9"/>
  <c r="E114" i="9"/>
  <c r="D114" i="9"/>
  <c r="E101" i="9"/>
  <c r="D101" i="9"/>
  <c r="G130" i="9" l="1"/>
  <c r="E130" i="9"/>
  <c r="D130" i="9"/>
  <c r="E111" i="9" l="1"/>
  <c r="E110" i="9" s="1"/>
  <c r="D111" i="9"/>
  <c r="D110" i="9" s="1"/>
  <c r="E107" i="9" l="1"/>
  <c r="D107" i="9"/>
  <c r="G94" i="9"/>
  <c r="E94" i="9"/>
  <c r="D94" i="9"/>
  <c r="E84" i="9" l="1"/>
  <c r="D84" i="9"/>
  <c r="G84" i="9"/>
  <c r="E77" i="9"/>
  <c r="E76" i="9" s="1"/>
  <c r="D77" i="9"/>
  <c r="D76" i="9" s="1"/>
  <c r="G66" i="9" l="1"/>
  <c r="G57" i="9" l="1"/>
  <c r="E58" i="9"/>
  <c r="E57" i="9" s="1"/>
  <c r="D58" i="9"/>
  <c r="D57" i="9" s="1"/>
  <c r="G61" i="9" l="1"/>
  <c r="E61" i="9"/>
  <c r="D61" i="9"/>
  <c r="G24" i="9" l="1"/>
  <c r="G23" i="9" s="1"/>
  <c r="E24" i="9"/>
  <c r="E23" i="9" s="1"/>
  <c r="D24" i="9"/>
  <c r="D23" i="9" s="1"/>
  <c r="E20" i="9"/>
  <c r="D20" i="9"/>
  <c r="T48" i="9" l="1"/>
  <c r="T11" i="9"/>
  <c r="T33" i="9"/>
  <c r="T191" i="9"/>
  <c r="T190" i="9"/>
  <c r="T184" i="9"/>
  <c r="T162" i="9"/>
  <c r="T142" i="9"/>
  <c r="T132" i="9"/>
  <c r="T119" i="9"/>
  <c r="T116" i="9"/>
  <c r="T109" i="9"/>
  <c r="T87" i="9"/>
  <c r="T82" i="9"/>
  <c r="T74" i="9"/>
  <c r="T52" i="9"/>
  <c r="T19" i="9"/>
  <c r="T29" i="9"/>
  <c r="T42" i="9"/>
  <c r="T16" i="9"/>
  <c r="T15" i="9"/>
  <c r="T34" i="9"/>
  <c r="T45" i="9"/>
  <c r="T25" i="9"/>
  <c r="T44" i="9"/>
  <c r="T32" i="9"/>
  <c r="T22" i="9"/>
  <c r="T30" i="9"/>
  <c r="T13" i="9"/>
  <c r="T12" i="9"/>
  <c r="T39" i="9"/>
  <c r="T36" i="9"/>
  <c r="T46" i="9"/>
  <c r="T194" i="9"/>
  <c r="T193" i="9"/>
  <c r="T192" i="9"/>
  <c r="T189" i="9"/>
  <c r="T188" i="9"/>
  <c r="T187" i="9"/>
  <c r="T186" i="9"/>
  <c r="T183" i="9"/>
  <c r="T182" i="9"/>
  <c r="T180" i="9"/>
  <c r="T179" i="9"/>
  <c r="T178" i="9"/>
  <c r="T175" i="9"/>
  <c r="T171" i="9"/>
  <c r="T168" i="9"/>
  <c r="T166" i="9"/>
  <c r="T165" i="9"/>
  <c r="T164" i="9"/>
  <c r="T161" i="9"/>
  <c r="T160" i="9"/>
  <c r="T159" i="9"/>
  <c r="T155" i="9"/>
  <c r="T153" i="9"/>
  <c r="T152" i="9"/>
  <c r="T151" i="9"/>
  <c r="T150" i="9"/>
  <c r="T148" i="9"/>
  <c r="T146" i="9"/>
  <c r="T147" i="9"/>
  <c r="T143" i="9"/>
  <c r="T138" i="9"/>
  <c r="T137" i="9"/>
  <c r="T136" i="9"/>
  <c r="T129" i="9"/>
  <c r="T124" i="9"/>
  <c r="T123" i="9"/>
  <c r="T113" i="9"/>
  <c r="T104" i="9"/>
  <c r="T100" i="9"/>
  <c r="T98" i="9"/>
  <c r="T96" i="9"/>
  <c r="T83" i="9"/>
  <c r="T81" i="9"/>
  <c r="T62" i="9"/>
  <c r="T65" i="9"/>
  <c r="T59" i="9"/>
  <c r="T55" i="9"/>
  <c r="T53" i="9"/>
  <c r="T51" i="9"/>
  <c r="T26" i="9"/>
  <c r="T14" i="9"/>
  <c r="E9" i="9" l="1"/>
  <c r="D9" i="9"/>
  <c r="T93" i="9" l="1"/>
  <c r="T170" i="9"/>
  <c r="T134" i="9"/>
  <c r="T103" i="9"/>
  <c r="C22" i="11" l="1"/>
  <c r="T43" i="9" l="1"/>
  <c r="T97" i="9"/>
  <c r="T91" i="9"/>
  <c r="T89" i="9"/>
  <c r="T75" i="9"/>
  <c r="T10" i="9" l="1"/>
  <c r="Z56" i="9" l="1"/>
  <c r="T172" i="9" l="1"/>
  <c r="T69" i="9"/>
  <c r="C21" i="10"/>
  <c r="Z90" i="9"/>
  <c r="L90" i="9"/>
  <c r="Z162" i="9"/>
  <c r="L162" i="9"/>
  <c r="Z154" i="9" l="1"/>
  <c r="L154" i="9"/>
  <c r="T167" i="9"/>
  <c r="C19" i="11" l="1"/>
  <c r="B19" i="11"/>
  <c r="C18" i="11"/>
  <c r="B18" i="11"/>
  <c r="S196" i="9"/>
  <c r="C18" i="10"/>
  <c r="B18" i="10"/>
  <c r="C17" i="10"/>
  <c r="B17" i="10"/>
  <c r="C16" i="10"/>
  <c r="B16" i="10"/>
  <c r="I17" i="10"/>
  <c r="G17" i="10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7" i="9"/>
  <c r="H12" i="9"/>
  <c r="H11" i="9"/>
  <c r="H10" i="9"/>
  <c r="H9" i="9"/>
  <c r="V20" i="9" l="1"/>
  <c r="X20" i="9" s="1"/>
  <c r="W25" i="9"/>
  <c r="V25" i="9"/>
  <c r="Z25" i="9" s="1"/>
  <c r="U25" i="9"/>
  <c r="W24" i="9"/>
  <c r="V24" i="9"/>
  <c r="X24" i="9" s="1"/>
  <c r="U24" i="9"/>
  <c r="W23" i="9"/>
  <c r="V23" i="9"/>
  <c r="X23" i="9" s="1"/>
  <c r="W22" i="9"/>
  <c r="V22" i="9"/>
  <c r="Z22" i="9" s="1"/>
  <c r="U22" i="9"/>
  <c r="W21" i="9"/>
  <c r="V21" i="9"/>
  <c r="X21" i="9" s="1"/>
  <c r="U21" i="9"/>
  <c r="W20" i="9"/>
  <c r="W19" i="9"/>
  <c r="V19" i="9"/>
  <c r="Z19" i="9" s="1"/>
  <c r="U19" i="9"/>
  <c r="W18" i="9"/>
  <c r="V18" i="9"/>
  <c r="X18" i="9" s="1"/>
  <c r="U18" i="9"/>
  <c r="W17" i="9"/>
  <c r="V17" i="9"/>
  <c r="X17" i="9" s="1"/>
  <c r="W8" i="9"/>
  <c r="V8" i="9"/>
  <c r="Z8" i="9" s="1"/>
  <c r="W9" i="9"/>
  <c r="V9" i="9"/>
  <c r="Z9" i="9" s="1"/>
  <c r="U9" i="9"/>
  <c r="W10" i="9"/>
  <c r="V10" i="9"/>
  <c r="Z10" i="9" s="1"/>
  <c r="U10" i="9"/>
  <c r="W12" i="9"/>
  <c r="V12" i="9"/>
  <c r="X12" i="9" s="1"/>
  <c r="U12" i="9"/>
  <c r="W11" i="9"/>
  <c r="V11" i="9"/>
  <c r="X11" i="9" s="1"/>
  <c r="U11" i="9"/>
  <c r="W7" i="9"/>
  <c r="V7" i="9"/>
  <c r="X7" i="9" s="1"/>
  <c r="W16" i="9"/>
  <c r="V16" i="9"/>
  <c r="X16" i="9" s="1"/>
  <c r="U16" i="9"/>
  <c r="W15" i="9"/>
  <c r="V15" i="9"/>
  <c r="X15" i="9" s="1"/>
  <c r="U15" i="9"/>
  <c r="W14" i="9"/>
  <c r="V14" i="9"/>
  <c r="X14" i="9" s="1"/>
  <c r="U14" i="9"/>
  <c r="W48" i="9"/>
  <c r="V48" i="9"/>
  <c r="X48" i="9" s="1"/>
  <c r="U48" i="9"/>
  <c r="W47" i="9"/>
  <c r="V47" i="9"/>
  <c r="X47" i="9" s="1"/>
  <c r="U47" i="9"/>
  <c r="W46" i="9"/>
  <c r="V46" i="9"/>
  <c r="X46" i="9" s="1"/>
  <c r="U46" i="9"/>
  <c r="W45" i="9"/>
  <c r="V45" i="9"/>
  <c r="X45" i="9" s="1"/>
  <c r="U45" i="9"/>
  <c r="W44" i="9"/>
  <c r="V44" i="9"/>
  <c r="X44" i="9" s="1"/>
  <c r="U44" i="9"/>
  <c r="W43" i="9"/>
  <c r="V43" i="9"/>
  <c r="X43" i="9" s="1"/>
  <c r="U43" i="9"/>
  <c r="W42" i="9"/>
  <c r="V42" i="9"/>
  <c r="X42" i="9" s="1"/>
  <c r="U42" i="9"/>
  <c r="W41" i="9"/>
  <c r="V41" i="9"/>
  <c r="X41" i="9" s="1"/>
  <c r="U41" i="9"/>
  <c r="W40" i="9"/>
  <c r="V40" i="9"/>
  <c r="X40" i="9" s="1"/>
  <c r="U40" i="9"/>
  <c r="W39" i="9"/>
  <c r="V39" i="9"/>
  <c r="X39" i="9" s="1"/>
  <c r="U39" i="9"/>
  <c r="W38" i="9"/>
  <c r="V38" i="9"/>
  <c r="X38" i="9" s="1"/>
  <c r="U38" i="9"/>
  <c r="W37" i="9"/>
  <c r="V37" i="9"/>
  <c r="X37" i="9" s="1"/>
  <c r="U37" i="9"/>
  <c r="W36" i="9"/>
  <c r="V36" i="9"/>
  <c r="X36" i="9" s="1"/>
  <c r="U36" i="9"/>
  <c r="W35" i="9"/>
  <c r="V35" i="9"/>
  <c r="X35" i="9" s="1"/>
  <c r="W34" i="9"/>
  <c r="V34" i="9"/>
  <c r="X34" i="9" s="1"/>
  <c r="U34" i="9"/>
  <c r="W33" i="9"/>
  <c r="V33" i="9"/>
  <c r="X33" i="9" s="1"/>
  <c r="U33" i="9"/>
  <c r="W32" i="9"/>
  <c r="V32" i="9"/>
  <c r="X32" i="9" s="1"/>
  <c r="U32" i="9"/>
  <c r="W31" i="9"/>
  <c r="V31" i="9"/>
  <c r="X31" i="9" s="1"/>
  <c r="U31" i="9"/>
  <c r="W30" i="9"/>
  <c r="V30" i="9"/>
  <c r="X30" i="9" s="1"/>
  <c r="U30" i="9"/>
  <c r="W29" i="9"/>
  <c r="V29" i="9"/>
  <c r="X29" i="9" s="1"/>
  <c r="U29" i="9"/>
  <c r="W28" i="9"/>
  <c r="V28" i="9"/>
  <c r="X28" i="9" s="1"/>
  <c r="U28" i="9"/>
  <c r="W27" i="9"/>
  <c r="V27" i="9"/>
  <c r="X27" i="9" s="1"/>
  <c r="U27" i="9"/>
  <c r="W26" i="9"/>
  <c r="V26" i="9"/>
  <c r="X26" i="9" s="1"/>
  <c r="U26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L33" i="9"/>
  <c r="M33" i="9" s="1"/>
  <c r="N33" i="9" s="1"/>
  <c r="J32" i="9"/>
  <c r="J31" i="9"/>
  <c r="J30" i="9"/>
  <c r="L30" i="9"/>
  <c r="M30" i="9" s="1"/>
  <c r="N30" i="9" s="1"/>
  <c r="J28" i="9"/>
  <c r="J27" i="9"/>
  <c r="J26" i="9"/>
  <c r="J29" i="9"/>
  <c r="J14" i="9"/>
  <c r="J16" i="9"/>
  <c r="J15" i="9"/>
  <c r="L25" i="9"/>
  <c r="M25" i="9" s="1"/>
  <c r="L24" i="9"/>
  <c r="M24" i="9" s="1"/>
  <c r="L23" i="9"/>
  <c r="L22" i="9"/>
  <c r="M22" i="9" s="1"/>
  <c r="L21" i="9"/>
  <c r="M21" i="9" s="1"/>
  <c r="L20" i="9"/>
  <c r="L19" i="9"/>
  <c r="M19" i="9" s="1"/>
  <c r="L18" i="9"/>
  <c r="M18" i="9" s="1"/>
  <c r="L17" i="9"/>
  <c r="Z13" i="9"/>
  <c r="L13" i="9"/>
  <c r="X13" i="9"/>
  <c r="W13" i="9"/>
  <c r="J13" i="9"/>
  <c r="L10" i="9"/>
  <c r="M10" i="9" s="1"/>
  <c r="L9" i="9"/>
  <c r="M9" i="9" s="1"/>
  <c r="L8" i="9"/>
  <c r="J7" i="9"/>
  <c r="L12" i="9"/>
  <c r="M12" i="9" s="1"/>
  <c r="N12" i="9" s="1"/>
  <c r="J12" i="9"/>
  <c r="AA9" i="9" l="1"/>
  <c r="AA10" i="9"/>
  <c r="AA22" i="9"/>
  <c r="AA25" i="9"/>
  <c r="AA19" i="9"/>
  <c r="Z24" i="9"/>
  <c r="AA24" i="9" s="1"/>
  <c r="Z21" i="9"/>
  <c r="AA21" i="9" s="1"/>
  <c r="Z18" i="9"/>
  <c r="AA18" i="9" s="1"/>
  <c r="Z23" i="9"/>
  <c r="X25" i="9"/>
  <c r="Z20" i="9"/>
  <c r="X22" i="9"/>
  <c r="Z17" i="9"/>
  <c r="X19" i="9"/>
  <c r="X8" i="9"/>
  <c r="X9" i="9"/>
  <c r="X10" i="9"/>
  <c r="Z12" i="9"/>
  <c r="AA12" i="9" s="1"/>
  <c r="AB12" i="9" s="1"/>
  <c r="Z11" i="9"/>
  <c r="AA11" i="9" s="1"/>
  <c r="AB11" i="9" s="1"/>
  <c r="Z7" i="9"/>
  <c r="Z16" i="9"/>
  <c r="AA16" i="9" s="1"/>
  <c r="AB16" i="9" s="1"/>
  <c r="Z15" i="9"/>
  <c r="AA15" i="9" s="1"/>
  <c r="AB15" i="9" s="1"/>
  <c r="Z14" i="9"/>
  <c r="AA14" i="9" s="1"/>
  <c r="AB14" i="9" s="1"/>
  <c r="Z48" i="9"/>
  <c r="AA48" i="9" s="1"/>
  <c r="AB48" i="9" s="1"/>
  <c r="Z47" i="9"/>
  <c r="AA47" i="9" s="1"/>
  <c r="AB47" i="9" s="1"/>
  <c r="Z46" i="9"/>
  <c r="AA46" i="9" s="1"/>
  <c r="AB46" i="9" s="1"/>
  <c r="Z45" i="9"/>
  <c r="AA45" i="9" s="1"/>
  <c r="AB45" i="9" s="1"/>
  <c r="Z44" i="9"/>
  <c r="AA44" i="9" s="1"/>
  <c r="AB44" i="9" s="1"/>
  <c r="Z43" i="9"/>
  <c r="AA43" i="9" s="1"/>
  <c r="AB43" i="9" s="1"/>
  <c r="Z42" i="9"/>
  <c r="AA42" i="9" s="1"/>
  <c r="AB42" i="9" s="1"/>
  <c r="Z41" i="9"/>
  <c r="AA41" i="9" s="1"/>
  <c r="AB41" i="9" s="1"/>
  <c r="Z40" i="9"/>
  <c r="AA40" i="9" s="1"/>
  <c r="AB40" i="9" s="1"/>
  <c r="Z39" i="9"/>
  <c r="AA39" i="9" s="1"/>
  <c r="AB39" i="9" s="1"/>
  <c r="Z38" i="9"/>
  <c r="AA38" i="9" s="1"/>
  <c r="AB38" i="9" s="1"/>
  <c r="Z37" i="9"/>
  <c r="AA37" i="9" s="1"/>
  <c r="AB37" i="9" s="1"/>
  <c r="Z36" i="9"/>
  <c r="AA36" i="9" s="1"/>
  <c r="AB36" i="9" s="1"/>
  <c r="Z35" i="9"/>
  <c r="Z34" i="9"/>
  <c r="AA34" i="9" s="1"/>
  <c r="AB34" i="9" s="1"/>
  <c r="Z33" i="9"/>
  <c r="AA33" i="9" s="1"/>
  <c r="AB33" i="9" s="1"/>
  <c r="Z32" i="9"/>
  <c r="AA32" i="9" s="1"/>
  <c r="AB32" i="9" s="1"/>
  <c r="Z31" i="9"/>
  <c r="AA31" i="9" s="1"/>
  <c r="AB31" i="9" s="1"/>
  <c r="Z30" i="9"/>
  <c r="AA30" i="9" s="1"/>
  <c r="AB30" i="9" s="1"/>
  <c r="Z29" i="9"/>
  <c r="AA29" i="9" s="1"/>
  <c r="AB29" i="9" s="1"/>
  <c r="Z28" i="9"/>
  <c r="AA28" i="9" s="1"/>
  <c r="AB28" i="9" s="1"/>
  <c r="Z27" i="9"/>
  <c r="AA27" i="9" s="1"/>
  <c r="AB27" i="9" s="1"/>
  <c r="Z26" i="9"/>
  <c r="AA26" i="9" s="1"/>
  <c r="AB26" i="9" s="1"/>
  <c r="L48" i="9"/>
  <c r="M48" i="9" s="1"/>
  <c r="N48" i="9" s="1"/>
  <c r="L47" i="9"/>
  <c r="M47" i="9" s="1"/>
  <c r="N47" i="9" s="1"/>
  <c r="L46" i="9"/>
  <c r="M46" i="9" s="1"/>
  <c r="N46" i="9" s="1"/>
  <c r="L45" i="9"/>
  <c r="M45" i="9" s="1"/>
  <c r="N45" i="9" s="1"/>
  <c r="L44" i="9"/>
  <c r="M44" i="9" s="1"/>
  <c r="N44" i="9" s="1"/>
  <c r="L43" i="9"/>
  <c r="M43" i="9" s="1"/>
  <c r="N43" i="9" s="1"/>
  <c r="L42" i="9"/>
  <c r="M42" i="9" s="1"/>
  <c r="N42" i="9" s="1"/>
  <c r="L41" i="9"/>
  <c r="M41" i="9" s="1"/>
  <c r="N41" i="9" s="1"/>
  <c r="L40" i="9"/>
  <c r="M40" i="9" s="1"/>
  <c r="N40" i="9" s="1"/>
  <c r="L39" i="9"/>
  <c r="M39" i="9" s="1"/>
  <c r="N39" i="9" s="1"/>
  <c r="L38" i="9"/>
  <c r="M38" i="9" s="1"/>
  <c r="N38" i="9" s="1"/>
  <c r="L37" i="9"/>
  <c r="M37" i="9" s="1"/>
  <c r="N37" i="9" s="1"/>
  <c r="L36" i="9"/>
  <c r="M36" i="9" s="1"/>
  <c r="N36" i="9" s="1"/>
  <c r="L35" i="9"/>
  <c r="M35" i="9" s="1"/>
  <c r="N35" i="9" s="1"/>
  <c r="L34" i="9"/>
  <c r="M34" i="9" s="1"/>
  <c r="N34" i="9" s="1"/>
  <c r="L32" i="9"/>
  <c r="M32" i="9" s="1"/>
  <c r="N32" i="9" s="1"/>
  <c r="L31" i="9"/>
  <c r="M31" i="9" s="1"/>
  <c r="N31" i="9" s="1"/>
  <c r="L28" i="9"/>
  <c r="M28" i="9" s="1"/>
  <c r="N28" i="9" s="1"/>
  <c r="L27" i="9"/>
  <c r="M27" i="9" s="1"/>
  <c r="N27" i="9" s="1"/>
  <c r="L26" i="9"/>
  <c r="M26" i="9" s="1"/>
  <c r="N26" i="9" s="1"/>
  <c r="L29" i="9"/>
  <c r="M29" i="9" s="1"/>
  <c r="N29" i="9" s="1"/>
  <c r="L14" i="9"/>
  <c r="M14" i="9" s="1"/>
  <c r="N14" i="9" s="1"/>
  <c r="L16" i="9"/>
  <c r="M16" i="9" s="1"/>
  <c r="N16" i="9" s="1"/>
  <c r="L15" i="9"/>
  <c r="M15" i="9" s="1"/>
  <c r="N15" i="9" s="1"/>
  <c r="J23" i="9"/>
  <c r="J24" i="9"/>
  <c r="J25" i="9"/>
  <c r="J20" i="9"/>
  <c r="J21" i="9"/>
  <c r="J22" i="9"/>
  <c r="J17" i="9"/>
  <c r="J18" i="9"/>
  <c r="J19" i="9"/>
  <c r="M13" i="9"/>
  <c r="N13" i="9" s="1"/>
  <c r="J10" i="9"/>
  <c r="J9" i="9"/>
  <c r="J8" i="9"/>
  <c r="L7" i="9"/>
  <c r="M7" i="9" s="1"/>
  <c r="N7" i="9" s="1"/>
  <c r="J16" i="10" l="1"/>
  <c r="L11" i="9"/>
  <c r="M11" i="9" s="1"/>
  <c r="J11" i="9"/>
  <c r="T185" i="9" l="1"/>
  <c r="T112" i="9"/>
  <c r="T7" i="9"/>
  <c r="U7" i="9" s="1"/>
  <c r="AA7" i="9" s="1"/>
  <c r="AB7" i="9" s="1"/>
  <c r="Z87" i="9"/>
  <c r="L87" i="9"/>
  <c r="T35" i="9" l="1"/>
  <c r="U35" i="9" s="1"/>
  <c r="AA35" i="9" s="1"/>
  <c r="AB35" i="9" s="1"/>
  <c r="T17" i="9"/>
  <c r="T66" i="9"/>
  <c r="T60" i="9"/>
  <c r="T177" i="9"/>
  <c r="T20" i="9" l="1"/>
  <c r="Z132" i="9"/>
  <c r="Z131" i="9"/>
  <c r="Z130" i="9"/>
  <c r="Z119" i="9"/>
  <c r="Z118" i="9"/>
  <c r="Z117" i="9"/>
  <c r="Z116" i="9"/>
  <c r="Z115" i="9"/>
  <c r="Z114" i="9"/>
  <c r="Z112" i="9"/>
  <c r="Z111" i="9"/>
  <c r="Z110" i="9"/>
  <c r="Z109" i="9"/>
  <c r="Z108" i="9"/>
  <c r="Z107" i="9"/>
  <c r="Z103" i="9"/>
  <c r="Z102" i="9"/>
  <c r="Z101" i="9"/>
  <c r="L131" i="9"/>
  <c r="L132" i="9"/>
  <c r="L130" i="9"/>
  <c r="L119" i="9"/>
  <c r="L118" i="9"/>
  <c r="L117" i="9"/>
  <c r="L116" i="9"/>
  <c r="L115" i="9"/>
  <c r="L114" i="9"/>
  <c r="L112" i="9"/>
  <c r="L111" i="9"/>
  <c r="L110" i="9"/>
  <c r="L109" i="9"/>
  <c r="L108" i="9"/>
  <c r="L107" i="9"/>
  <c r="L103" i="9"/>
  <c r="L102" i="9"/>
  <c r="L101" i="9"/>
  <c r="Z123" i="9"/>
  <c r="Z122" i="9"/>
  <c r="Z121" i="9"/>
  <c r="L123" i="9"/>
  <c r="L122" i="9"/>
  <c r="L121" i="9"/>
  <c r="Z127" i="9"/>
  <c r="Z126" i="9"/>
  <c r="L127" i="9"/>
  <c r="L126" i="9"/>
  <c r="Z125" i="9"/>
  <c r="L125" i="9"/>
  <c r="Z83" i="9"/>
  <c r="L83" i="9"/>
  <c r="Z73" i="9"/>
  <c r="L73" i="9"/>
  <c r="T133" i="9"/>
  <c r="T49" i="9"/>
  <c r="T8" i="9"/>
  <c r="T23" i="9" l="1"/>
  <c r="U64" i="9"/>
  <c r="U65" i="9"/>
  <c r="J9" i="11"/>
  <c r="D9" i="11"/>
  <c r="E9" i="11" s="1"/>
  <c r="H9" i="11" s="1"/>
  <c r="I11" i="10"/>
  <c r="G11" i="10"/>
  <c r="I10" i="10"/>
  <c r="G10" i="10"/>
  <c r="I9" i="10"/>
  <c r="E9" i="10"/>
  <c r="D9" i="10"/>
  <c r="I8" i="10"/>
  <c r="G8" i="10"/>
  <c r="G101" i="9"/>
  <c r="U63" i="9" l="1"/>
  <c r="G9" i="10"/>
  <c r="K9" i="11"/>
  <c r="G8" i="9" l="1"/>
  <c r="L166" i="9"/>
  <c r="T130" i="9"/>
  <c r="T125" i="9"/>
  <c r="T121" i="9"/>
  <c r="T117" i="9"/>
  <c r="T114" i="9"/>
  <c r="T110" i="9"/>
  <c r="T107" i="9"/>
  <c r="T101" i="9"/>
  <c r="T94" i="9"/>
  <c r="T84" i="9"/>
  <c r="T79" i="9"/>
  <c r="T76" i="9"/>
  <c r="T70" i="9"/>
  <c r="T63" i="9"/>
  <c r="T57" i="9"/>
  <c r="M8" i="9" l="1"/>
  <c r="U8" i="9"/>
  <c r="AA8" i="9" s="1"/>
  <c r="U52" i="9"/>
  <c r="J21" i="11"/>
  <c r="E21" i="11"/>
  <c r="H21" i="11" s="1"/>
  <c r="J20" i="11"/>
  <c r="E20" i="11"/>
  <c r="H20" i="11" s="1"/>
  <c r="J18" i="11"/>
  <c r="E18" i="11"/>
  <c r="H18" i="11" s="1"/>
  <c r="J17" i="11"/>
  <c r="E17" i="11"/>
  <c r="H17" i="11" s="1"/>
  <c r="J16" i="11"/>
  <c r="E16" i="11"/>
  <c r="H16" i="11" s="1"/>
  <c r="J15" i="11"/>
  <c r="E15" i="11"/>
  <c r="H15" i="11" s="1"/>
  <c r="J14" i="11"/>
  <c r="E14" i="11"/>
  <c r="H14" i="11" s="1"/>
  <c r="J13" i="11"/>
  <c r="F13" i="11"/>
  <c r="H13" i="11" s="1"/>
  <c r="J12" i="11"/>
  <c r="E12" i="11"/>
  <c r="H12" i="11" s="1"/>
  <c r="J11" i="11"/>
  <c r="E11" i="11"/>
  <c r="H11" i="11" s="1"/>
  <c r="J10" i="11"/>
  <c r="F10" i="11"/>
  <c r="H10" i="11" s="1"/>
  <c r="J8" i="11"/>
  <c r="E8" i="11"/>
  <c r="H8" i="11" s="1"/>
  <c r="J7" i="11"/>
  <c r="E7" i="11"/>
  <c r="H7" i="11" s="1"/>
  <c r="I20" i="10"/>
  <c r="G20" i="10"/>
  <c r="I19" i="10"/>
  <c r="G19" i="10"/>
  <c r="I16" i="10"/>
  <c r="G16" i="10"/>
  <c r="I15" i="10"/>
  <c r="G15" i="10"/>
  <c r="I14" i="10"/>
  <c r="G14" i="10"/>
  <c r="I13" i="10"/>
  <c r="G13" i="10"/>
  <c r="I12" i="10"/>
  <c r="E12" i="10"/>
  <c r="D12" i="10"/>
  <c r="I7" i="10"/>
  <c r="G7" i="10"/>
  <c r="I6" i="10"/>
  <c r="G6" i="10"/>
  <c r="T196" i="9"/>
  <c r="U13" i="9"/>
  <c r="AA13" i="9" s="1"/>
  <c r="AB13" i="9" s="1"/>
  <c r="U50" i="9"/>
  <c r="U51" i="9"/>
  <c r="U53" i="9"/>
  <c r="U54" i="9"/>
  <c r="U55" i="9"/>
  <c r="U56" i="9"/>
  <c r="U58" i="9"/>
  <c r="U59" i="9"/>
  <c r="U61" i="9"/>
  <c r="U62" i="9"/>
  <c r="U67" i="9"/>
  <c r="U68" i="9"/>
  <c r="U69" i="9"/>
  <c r="U71" i="9"/>
  <c r="U72" i="9"/>
  <c r="U73" i="9"/>
  <c r="U74" i="9"/>
  <c r="U75" i="9"/>
  <c r="U77" i="9"/>
  <c r="U78" i="9"/>
  <c r="U80" i="9"/>
  <c r="U81" i="9"/>
  <c r="U82" i="9"/>
  <c r="U83" i="9"/>
  <c r="U85" i="9"/>
  <c r="U86" i="9"/>
  <c r="U87" i="9"/>
  <c r="U88" i="9"/>
  <c r="U89" i="9"/>
  <c r="U90" i="9"/>
  <c r="U91" i="9"/>
  <c r="U92" i="9"/>
  <c r="U93" i="9"/>
  <c r="U95" i="9"/>
  <c r="U96" i="9"/>
  <c r="U97" i="9"/>
  <c r="U98" i="9"/>
  <c r="U99" i="9"/>
  <c r="U100" i="9"/>
  <c r="U102" i="9"/>
  <c r="U103" i="9"/>
  <c r="U104" i="9"/>
  <c r="U105" i="9"/>
  <c r="U106" i="9"/>
  <c r="U108" i="9"/>
  <c r="U109" i="9"/>
  <c r="U111" i="9"/>
  <c r="U112" i="9"/>
  <c r="U113" i="9"/>
  <c r="U115" i="9"/>
  <c r="U116" i="9"/>
  <c r="U118" i="9"/>
  <c r="U119" i="9"/>
  <c r="U120" i="9"/>
  <c r="U122" i="9"/>
  <c r="U123" i="9"/>
  <c r="U124" i="9"/>
  <c r="U126" i="9"/>
  <c r="U127" i="9"/>
  <c r="U128" i="9"/>
  <c r="U129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1" i="9"/>
  <c r="U172" i="9"/>
  <c r="U173" i="9"/>
  <c r="U174" i="9"/>
  <c r="U175" i="9"/>
  <c r="U176" i="9"/>
  <c r="U177" i="9"/>
  <c r="U178" i="9"/>
  <c r="U179" i="9"/>
  <c r="U180" i="9"/>
  <c r="U181" i="9"/>
  <c r="U182" i="9"/>
  <c r="U183" i="9"/>
  <c r="U184" i="9"/>
  <c r="U185" i="9"/>
  <c r="U186" i="9"/>
  <c r="U187" i="9"/>
  <c r="U188" i="9"/>
  <c r="U189" i="9"/>
  <c r="U190" i="9"/>
  <c r="U191" i="9"/>
  <c r="U192" i="9"/>
  <c r="U193" i="9"/>
  <c r="U194" i="9"/>
  <c r="U195" i="9"/>
  <c r="H49" i="9"/>
  <c r="H57" i="9"/>
  <c r="H60" i="9"/>
  <c r="H63" i="9"/>
  <c r="H66" i="9"/>
  <c r="H70" i="9"/>
  <c r="H76" i="9"/>
  <c r="H79" i="9"/>
  <c r="H84" i="9"/>
  <c r="H94" i="9"/>
  <c r="H101" i="9"/>
  <c r="H107" i="9"/>
  <c r="H110" i="9"/>
  <c r="H114" i="9"/>
  <c r="H117" i="9"/>
  <c r="H121" i="9"/>
  <c r="H130" i="9"/>
  <c r="U121" i="9" l="1"/>
  <c r="L19" i="11"/>
  <c r="U130" i="9"/>
  <c r="U101" i="9"/>
  <c r="U125" i="9"/>
  <c r="U117" i="9"/>
  <c r="U114" i="9"/>
  <c r="U110" i="9"/>
  <c r="U107" i="9"/>
  <c r="U94" i="9"/>
  <c r="U84" i="9"/>
  <c r="U79" i="9"/>
  <c r="U76" i="9"/>
  <c r="U70" i="9"/>
  <c r="U66" i="9"/>
  <c r="U60" i="9"/>
  <c r="U57" i="9"/>
  <c r="U49" i="9"/>
  <c r="K12" i="11"/>
  <c r="K15" i="11"/>
  <c r="K21" i="11"/>
  <c r="K20" i="11"/>
  <c r="K18" i="11"/>
  <c r="K17" i="11"/>
  <c r="K16" i="11"/>
  <c r="K14" i="11"/>
  <c r="K13" i="11"/>
  <c r="K11" i="11"/>
  <c r="K10" i="11"/>
  <c r="K8" i="11"/>
  <c r="K7" i="11"/>
  <c r="G12" i="10"/>
  <c r="G20" i="9"/>
  <c r="G49" i="9"/>
  <c r="L49" i="9"/>
  <c r="V49" i="9"/>
  <c r="Z49" i="9"/>
  <c r="J50" i="9"/>
  <c r="L50" i="9"/>
  <c r="M50" i="9" s="1"/>
  <c r="X50" i="9"/>
  <c r="Z50" i="9"/>
  <c r="AA50" i="9" s="1"/>
  <c r="J51" i="9"/>
  <c r="L51" i="9"/>
  <c r="X51" i="9"/>
  <c r="Z51" i="9"/>
  <c r="J52" i="9"/>
  <c r="L52" i="9"/>
  <c r="X52" i="9"/>
  <c r="Z52" i="9"/>
  <c r="J53" i="9"/>
  <c r="L53" i="9"/>
  <c r="X53" i="9"/>
  <c r="AA53" i="9" s="1"/>
  <c r="AB53" i="9" s="1"/>
  <c r="Z53" i="9"/>
  <c r="J54" i="9"/>
  <c r="L54" i="9"/>
  <c r="M54" i="9"/>
  <c r="N54" i="9" s="1"/>
  <c r="X54" i="9"/>
  <c r="Z54" i="9"/>
  <c r="J55" i="9"/>
  <c r="L55" i="9"/>
  <c r="X55" i="9"/>
  <c r="Z55" i="9"/>
  <c r="J56" i="9"/>
  <c r="L56" i="9"/>
  <c r="X56" i="9"/>
  <c r="L57" i="9"/>
  <c r="V57" i="9"/>
  <c r="Z57" i="9"/>
  <c r="J58" i="9"/>
  <c r="L58" i="9"/>
  <c r="M58" i="9" s="1"/>
  <c r="X58" i="9"/>
  <c r="Z58" i="9"/>
  <c r="AA58" i="9"/>
  <c r="J59" i="9"/>
  <c r="L59" i="9"/>
  <c r="Z59" i="9"/>
  <c r="L60" i="9"/>
  <c r="V60" i="9"/>
  <c r="Z60" i="9"/>
  <c r="J61" i="9"/>
  <c r="L61" i="9"/>
  <c r="M61" i="9" s="1"/>
  <c r="X61" i="9"/>
  <c r="Z61" i="9"/>
  <c r="AA61" i="9" s="1"/>
  <c r="J62" i="9"/>
  <c r="L62" i="9"/>
  <c r="X62" i="9"/>
  <c r="Z62" i="9"/>
  <c r="J63" i="9"/>
  <c r="M63" i="9" s="1"/>
  <c r="L63" i="9"/>
  <c r="X63" i="9"/>
  <c r="AA63" i="9" s="1"/>
  <c r="Z63" i="9"/>
  <c r="J64" i="9"/>
  <c r="L64" i="9"/>
  <c r="M64" i="9" s="1"/>
  <c r="X64" i="9"/>
  <c r="Z64" i="9"/>
  <c r="AA64" i="9"/>
  <c r="J65" i="9"/>
  <c r="L65" i="9"/>
  <c r="X65" i="9"/>
  <c r="Z65" i="9"/>
  <c r="I66" i="9"/>
  <c r="J66" i="9"/>
  <c r="L66" i="9"/>
  <c r="V66" i="9"/>
  <c r="W66" i="9"/>
  <c r="Z66" i="9"/>
  <c r="J67" i="9"/>
  <c r="L67" i="9"/>
  <c r="M67" i="9" s="1"/>
  <c r="X67" i="9"/>
  <c r="Z67" i="9"/>
  <c r="AA67" i="9" s="1"/>
  <c r="J68" i="9"/>
  <c r="L68" i="9"/>
  <c r="M68" i="9"/>
  <c r="X68" i="9"/>
  <c r="Z68" i="9"/>
  <c r="J69" i="9"/>
  <c r="L69" i="9"/>
  <c r="X69" i="9"/>
  <c r="Z69" i="9"/>
  <c r="L70" i="9"/>
  <c r="V70" i="9"/>
  <c r="Z70" i="9"/>
  <c r="J71" i="9"/>
  <c r="L71" i="9"/>
  <c r="M71" i="9" s="1"/>
  <c r="X71" i="9"/>
  <c r="Z71" i="9"/>
  <c r="AA71" i="9"/>
  <c r="L72" i="9"/>
  <c r="M72" i="9"/>
  <c r="Z72" i="9"/>
  <c r="AA72" i="9"/>
  <c r="J73" i="9"/>
  <c r="M73" i="9" s="1"/>
  <c r="N73" i="9" s="1"/>
  <c r="X73" i="9"/>
  <c r="AA73" i="9" s="1"/>
  <c r="AB73" i="9" s="1"/>
  <c r="J74" i="9"/>
  <c r="L74" i="9"/>
  <c r="X74" i="9"/>
  <c r="Z74" i="9"/>
  <c r="J75" i="9"/>
  <c r="L75" i="9"/>
  <c r="X75" i="9"/>
  <c r="Z75" i="9"/>
  <c r="G76" i="9"/>
  <c r="L76" i="9"/>
  <c r="V76" i="9"/>
  <c r="Z76" i="9"/>
  <c r="J77" i="9"/>
  <c r="L77" i="9"/>
  <c r="M77" i="9" s="1"/>
  <c r="X77" i="9"/>
  <c r="Z77" i="9"/>
  <c r="AA77" i="9" s="1"/>
  <c r="J78" i="9"/>
  <c r="L78" i="9"/>
  <c r="X78" i="9"/>
  <c r="Z78" i="9"/>
  <c r="G79" i="9"/>
  <c r="L79" i="9"/>
  <c r="V79" i="9"/>
  <c r="Z79" i="9"/>
  <c r="J80" i="9"/>
  <c r="L80" i="9"/>
  <c r="M80" i="9"/>
  <c r="X80" i="9"/>
  <c r="Z80" i="9"/>
  <c r="AA80" i="9" s="1"/>
  <c r="J81" i="9"/>
  <c r="L81" i="9"/>
  <c r="X81" i="9"/>
  <c r="Z81" i="9"/>
  <c r="J82" i="9"/>
  <c r="L82" i="9"/>
  <c r="X82" i="9"/>
  <c r="Z82" i="9"/>
  <c r="J83" i="9"/>
  <c r="M83" i="9" s="1"/>
  <c r="N83" i="9" s="1"/>
  <c r="X83" i="9"/>
  <c r="AA83" i="9" s="1"/>
  <c r="AB83" i="9" s="1"/>
  <c r="L84" i="9"/>
  <c r="V84" i="9"/>
  <c r="X84" i="9" s="1"/>
  <c r="Z84" i="9"/>
  <c r="L85" i="9"/>
  <c r="M85" i="9" s="1"/>
  <c r="Z85" i="9"/>
  <c r="AA85" i="9" s="1"/>
  <c r="J86" i="9"/>
  <c r="L86" i="9"/>
  <c r="X86" i="9"/>
  <c r="Z86" i="9"/>
  <c r="J87" i="9"/>
  <c r="X87" i="9"/>
  <c r="J88" i="9"/>
  <c r="L88" i="9"/>
  <c r="M88" i="9"/>
  <c r="N88" i="9" s="1"/>
  <c r="X88" i="9"/>
  <c r="Z88" i="9"/>
  <c r="J89" i="9"/>
  <c r="L89" i="9"/>
  <c r="X89" i="9"/>
  <c r="Z89" i="9"/>
  <c r="J90" i="9"/>
  <c r="M90" i="9" s="1"/>
  <c r="N90" i="9" s="1"/>
  <c r="X90" i="9"/>
  <c r="J91" i="9"/>
  <c r="L91" i="9"/>
  <c r="X91" i="9"/>
  <c r="Z91" i="9"/>
  <c r="J92" i="9"/>
  <c r="L92" i="9"/>
  <c r="X92" i="9"/>
  <c r="Z92" i="9"/>
  <c r="J93" i="9"/>
  <c r="L93" i="9"/>
  <c r="X93" i="9"/>
  <c r="Z93" i="9"/>
  <c r="L94" i="9"/>
  <c r="V94" i="9"/>
  <c r="Z94" i="9"/>
  <c r="J95" i="9"/>
  <c r="L95" i="9"/>
  <c r="M95" i="9" s="1"/>
  <c r="X95" i="9"/>
  <c r="Z95" i="9"/>
  <c r="AA95" i="9" s="1"/>
  <c r="J96" i="9"/>
  <c r="L96" i="9"/>
  <c r="X96" i="9"/>
  <c r="Z96" i="9"/>
  <c r="J97" i="9"/>
  <c r="L97" i="9"/>
  <c r="X97" i="9"/>
  <c r="Z97" i="9"/>
  <c r="AA97" i="9"/>
  <c r="AB97" i="9" s="1"/>
  <c r="J98" i="9"/>
  <c r="L98" i="9"/>
  <c r="X98" i="9"/>
  <c r="Z98" i="9"/>
  <c r="J99" i="9"/>
  <c r="L99" i="9"/>
  <c r="X99" i="9"/>
  <c r="Z99" i="9"/>
  <c r="J100" i="9"/>
  <c r="L100" i="9"/>
  <c r="X100" i="9"/>
  <c r="Z100" i="9"/>
  <c r="I101" i="9"/>
  <c r="J101" i="9"/>
  <c r="V101" i="9"/>
  <c r="W101" i="9"/>
  <c r="M102" i="9"/>
  <c r="AA102" i="9"/>
  <c r="J103" i="9"/>
  <c r="M103" i="9" s="1"/>
  <c r="X103" i="9"/>
  <c r="AA103" i="9" s="1"/>
  <c r="J104" i="9"/>
  <c r="L104" i="9"/>
  <c r="M104" i="9"/>
  <c r="N104" i="9" s="1"/>
  <c r="X104" i="9"/>
  <c r="Z104" i="9"/>
  <c r="J105" i="9"/>
  <c r="L105" i="9"/>
  <c r="X105" i="9"/>
  <c r="Z105" i="9"/>
  <c r="J106" i="9"/>
  <c r="L106" i="9"/>
  <c r="X106" i="9"/>
  <c r="Z106" i="9"/>
  <c r="AA106" i="9"/>
  <c r="AB106" i="9" s="1"/>
  <c r="L17" i="11" s="1"/>
  <c r="G107" i="9"/>
  <c r="I107" i="9"/>
  <c r="J107" i="9"/>
  <c r="M107" i="9" s="1"/>
  <c r="V107" i="9"/>
  <c r="W107" i="9"/>
  <c r="J108" i="9"/>
  <c r="M108" i="9"/>
  <c r="X108" i="9"/>
  <c r="AA108" i="9"/>
  <c r="J109" i="9"/>
  <c r="M109" i="9" s="1"/>
  <c r="G110" i="9"/>
  <c r="I110" i="9"/>
  <c r="J110" i="9"/>
  <c r="M110" i="9" s="1"/>
  <c r="V110" i="9"/>
  <c r="W110" i="9"/>
  <c r="J111" i="9"/>
  <c r="M111" i="9"/>
  <c r="X111" i="9"/>
  <c r="AA111" i="9"/>
  <c r="J112" i="9"/>
  <c r="M112" i="9" s="1"/>
  <c r="X112" i="9"/>
  <c r="J113" i="9"/>
  <c r="L113" i="9"/>
  <c r="M113" i="9"/>
  <c r="N113" i="9" s="1"/>
  <c r="X113" i="9"/>
  <c r="Z113" i="9"/>
  <c r="I114" i="9"/>
  <c r="J114" i="9"/>
  <c r="M114" i="9" s="1"/>
  <c r="V114" i="9"/>
  <c r="W114" i="9"/>
  <c r="J115" i="9"/>
  <c r="M115" i="9"/>
  <c r="X115" i="9"/>
  <c r="AA115" i="9"/>
  <c r="J116" i="9"/>
  <c r="M116" i="9" s="1"/>
  <c r="X116" i="9"/>
  <c r="G117" i="9"/>
  <c r="I117" i="9"/>
  <c r="J117" i="9"/>
  <c r="M117" i="9" s="1"/>
  <c r="V117" i="9"/>
  <c r="W117" i="9"/>
  <c r="J118" i="9"/>
  <c r="M118" i="9"/>
  <c r="X118" i="9"/>
  <c r="AA118" i="9"/>
  <c r="J119" i="9"/>
  <c r="M119" i="9" s="1"/>
  <c r="X119" i="9"/>
  <c r="AA119" i="9" s="1"/>
  <c r="J120" i="9"/>
  <c r="L120" i="9"/>
  <c r="X120" i="9"/>
  <c r="Z120" i="9"/>
  <c r="I121" i="9"/>
  <c r="J121" i="9"/>
  <c r="M121" i="9" s="1"/>
  <c r="V121" i="9"/>
  <c r="W121" i="9"/>
  <c r="J122" i="9"/>
  <c r="M122" i="9"/>
  <c r="X122" i="9"/>
  <c r="AA122" i="9"/>
  <c r="J123" i="9"/>
  <c r="M123" i="9" s="1"/>
  <c r="X123" i="9"/>
  <c r="AA123" i="9" s="1"/>
  <c r="J124" i="9"/>
  <c r="L124" i="9"/>
  <c r="X124" i="9"/>
  <c r="Z124" i="9"/>
  <c r="AA124" i="9"/>
  <c r="AB124" i="9" s="1"/>
  <c r="I125" i="9"/>
  <c r="V125" i="9"/>
  <c r="W125" i="9"/>
  <c r="X125" i="9"/>
  <c r="AA125" i="9" s="1"/>
  <c r="J126" i="9"/>
  <c r="M126" i="9"/>
  <c r="X126" i="9"/>
  <c r="AA126" i="9"/>
  <c r="J127" i="9"/>
  <c r="M127" i="9" s="1"/>
  <c r="X127" i="9"/>
  <c r="AA127" i="9" s="1"/>
  <c r="J128" i="9"/>
  <c r="L128" i="9"/>
  <c r="X128" i="9"/>
  <c r="Z128" i="9"/>
  <c r="J129" i="9"/>
  <c r="L129" i="9"/>
  <c r="X129" i="9"/>
  <c r="Z129" i="9"/>
  <c r="I130" i="9"/>
  <c r="J130" i="9"/>
  <c r="V130" i="9"/>
  <c r="W130" i="9"/>
  <c r="M131" i="9"/>
  <c r="AA131" i="9"/>
  <c r="J132" i="9"/>
  <c r="M132" i="9" s="1"/>
  <c r="X132" i="9"/>
  <c r="J133" i="9"/>
  <c r="L133" i="9"/>
  <c r="X133" i="9"/>
  <c r="Z133" i="9"/>
  <c r="J134" i="9"/>
  <c r="L134" i="9"/>
  <c r="M134" i="9"/>
  <c r="N134" i="9" s="1"/>
  <c r="X134" i="9"/>
  <c r="Z134" i="9"/>
  <c r="J135" i="9"/>
  <c r="L135" i="9"/>
  <c r="X135" i="9"/>
  <c r="Z135" i="9"/>
  <c r="J136" i="9"/>
  <c r="L136" i="9"/>
  <c r="X136" i="9"/>
  <c r="Z136" i="9"/>
  <c r="J137" i="9"/>
  <c r="L137" i="9"/>
  <c r="X137" i="9"/>
  <c r="Z137" i="9"/>
  <c r="J138" i="9"/>
  <c r="L138" i="9"/>
  <c r="M138" i="9"/>
  <c r="N138" i="9" s="1"/>
  <c r="X138" i="9"/>
  <c r="Z138" i="9"/>
  <c r="J139" i="9"/>
  <c r="L139" i="9"/>
  <c r="X139" i="9"/>
  <c r="Z139" i="9"/>
  <c r="J140" i="9"/>
  <c r="L140" i="9"/>
  <c r="X140" i="9"/>
  <c r="Z140" i="9"/>
  <c r="J141" i="9"/>
  <c r="L141" i="9"/>
  <c r="X141" i="9"/>
  <c r="Z141" i="9"/>
  <c r="J142" i="9"/>
  <c r="L142" i="9"/>
  <c r="M142" i="9"/>
  <c r="N142" i="9" s="1"/>
  <c r="X142" i="9"/>
  <c r="Z142" i="9"/>
  <c r="J143" i="9"/>
  <c r="L143" i="9"/>
  <c r="X143" i="9"/>
  <c r="Z143" i="9"/>
  <c r="J144" i="9"/>
  <c r="L144" i="9"/>
  <c r="X144" i="9"/>
  <c r="Z144" i="9"/>
  <c r="J145" i="9"/>
  <c r="L145" i="9"/>
  <c r="X145" i="9"/>
  <c r="Z145" i="9"/>
  <c r="J146" i="9"/>
  <c r="L146" i="9"/>
  <c r="M146" i="9"/>
  <c r="N146" i="9" s="1"/>
  <c r="X146" i="9"/>
  <c r="Z146" i="9"/>
  <c r="J147" i="9"/>
  <c r="L147" i="9"/>
  <c r="X147" i="9"/>
  <c r="Z147" i="9"/>
  <c r="J148" i="9"/>
  <c r="L148" i="9"/>
  <c r="X148" i="9"/>
  <c r="Z148" i="9"/>
  <c r="J149" i="9"/>
  <c r="L149" i="9"/>
  <c r="X149" i="9"/>
  <c r="Z149" i="9"/>
  <c r="J150" i="9"/>
  <c r="L150" i="9"/>
  <c r="X150" i="9"/>
  <c r="Z150" i="9"/>
  <c r="J151" i="9"/>
  <c r="L151" i="9"/>
  <c r="X151" i="9"/>
  <c r="Z151" i="9"/>
  <c r="AA151" i="9"/>
  <c r="AB151" i="9" s="1"/>
  <c r="J152" i="9"/>
  <c r="L152" i="9"/>
  <c r="X152" i="9"/>
  <c r="Z152" i="9"/>
  <c r="J153" i="9"/>
  <c r="L153" i="9"/>
  <c r="X153" i="9"/>
  <c r="Z153" i="9"/>
  <c r="J154" i="9"/>
  <c r="M154" i="9" s="1"/>
  <c r="N154" i="9" s="1"/>
  <c r="X154" i="9"/>
  <c r="J155" i="9"/>
  <c r="L155" i="9"/>
  <c r="X155" i="9"/>
  <c r="Z155" i="9"/>
  <c r="J156" i="9"/>
  <c r="L156" i="9"/>
  <c r="X156" i="9"/>
  <c r="Z156" i="9"/>
  <c r="J157" i="9"/>
  <c r="L157" i="9"/>
  <c r="X157" i="9"/>
  <c r="Z157" i="9"/>
  <c r="J158" i="9"/>
  <c r="M158" i="9" s="1"/>
  <c r="N158" i="9" s="1"/>
  <c r="L158" i="9"/>
  <c r="X158" i="9"/>
  <c r="Z158" i="9"/>
  <c r="J159" i="9"/>
  <c r="L159" i="9"/>
  <c r="X159" i="9"/>
  <c r="Z159" i="9"/>
  <c r="J160" i="9"/>
  <c r="L160" i="9"/>
  <c r="X160" i="9"/>
  <c r="Z160" i="9"/>
  <c r="J161" i="9"/>
  <c r="L161" i="9"/>
  <c r="X161" i="9"/>
  <c r="Z161" i="9"/>
  <c r="J162" i="9"/>
  <c r="M162" i="9" s="1"/>
  <c r="N162" i="9" s="1"/>
  <c r="X162" i="9"/>
  <c r="J163" i="9"/>
  <c r="L163" i="9"/>
  <c r="X163" i="9"/>
  <c r="Z163" i="9"/>
  <c r="J164" i="9"/>
  <c r="M164" i="9" s="1"/>
  <c r="N164" i="9" s="1"/>
  <c r="L164" i="9"/>
  <c r="X164" i="9"/>
  <c r="AA164" i="9" s="1"/>
  <c r="AB164" i="9" s="1"/>
  <c r="Z164" i="9"/>
  <c r="J165" i="9"/>
  <c r="L165" i="9"/>
  <c r="M165" i="9"/>
  <c r="N165" i="9" s="1"/>
  <c r="X165" i="9"/>
  <c r="Z165" i="9"/>
  <c r="J166" i="9"/>
  <c r="M166" i="9" s="1"/>
  <c r="N166" i="9" s="1"/>
  <c r="X166" i="9"/>
  <c r="AA166" i="9" s="1"/>
  <c r="AB166" i="9" s="1"/>
  <c r="Z166" i="9"/>
  <c r="J167" i="9"/>
  <c r="L167" i="9"/>
  <c r="M167" i="9"/>
  <c r="N167" i="9" s="1"/>
  <c r="X167" i="9"/>
  <c r="Z167" i="9"/>
  <c r="J168" i="9"/>
  <c r="L168" i="9"/>
  <c r="X168" i="9"/>
  <c r="Z168" i="9"/>
  <c r="J169" i="9"/>
  <c r="L169" i="9"/>
  <c r="X169" i="9"/>
  <c r="Z169" i="9"/>
  <c r="J170" i="9"/>
  <c r="L170" i="9"/>
  <c r="X170" i="9"/>
  <c r="Z170" i="9"/>
  <c r="J171" i="9"/>
  <c r="L171" i="9"/>
  <c r="X171" i="9"/>
  <c r="Z171" i="9"/>
  <c r="J172" i="9"/>
  <c r="L172" i="9"/>
  <c r="X172" i="9"/>
  <c r="Z172" i="9"/>
  <c r="J173" i="9"/>
  <c r="L173" i="9"/>
  <c r="X173" i="9"/>
  <c r="Z173" i="9"/>
  <c r="J174" i="9"/>
  <c r="L174" i="9"/>
  <c r="X174" i="9"/>
  <c r="Z174" i="9"/>
  <c r="J175" i="9"/>
  <c r="L175" i="9"/>
  <c r="X175" i="9"/>
  <c r="Z175" i="9"/>
  <c r="J176" i="9"/>
  <c r="L176" i="9"/>
  <c r="X176" i="9"/>
  <c r="Z176" i="9"/>
  <c r="J177" i="9"/>
  <c r="L177" i="9"/>
  <c r="X177" i="9"/>
  <c r="Z177" i="9"/>
  <c r="J178" i="9"/>
  <c r="L178" i="9"/>
  <c r="X178" i="9"/>
  <c r="Z178" i="9"/>
  <c r="J179" i="9"/>
  <c r="L179" i="9"/>
  <c r="X179" i="9"/>
  <c r="Z179" i="9"/>
  <c r="J180" i="9"/>
  <c r="L180" i="9"/>
  <c r="X180" i="9"/>
  <c r="Z180" i="9"/>
  <c r="J181" i="9"/>
  <c r="L181" i="9"/>
  <c r="X181" i="9"/>
  <c r="Z181" i="9"/>
  <c r="J182" i="9"/>
  <c r="L182" i="9"/>
  <c r="X182" i="9"/>
  <c r="Z182" i="9"/>
  <c r="J183" i="9"/>
  <c r="M183" i="9" s="1"/>
  <c r="N183" i="9" s="1"/>
  <c r="L183" i="9"/>
  <c r="X183" i="9"/>
  <c r="AA183" i="9" s="1"/>
  <c r="AB183" i="9" s="1"/>
  <c r="Z183" i="9"/>
  <c r="J184" i="9"/>
  <c r="L184" i="9"/>
  <c r="X184" i="9"/>
  <c r="Z184" i="9"/>
  <c r="J185" i="9"/>
  <c r="M185" i="9" s="1"/>
  <c r="N185" i="9" s="1"/>
  <c r="L185" i="9"/>
  <c r="X185" i="9"/>
  <c r="AA185" i="9" s="1"/>
  <c r="AB185" i="9" s="1"/>
  <c r="Z185" i="9"/>
  <c r="J186" i="9"/>
  <c r="L186" i="9"/>
  <c r="X186" i="9"/>
  <c r="Z186" i="9"/>
  <c r="J187" i="9"/>
  <c r="L187" i="9"/>
  <c r="X187" i="9"/>
  <c r="Z187" i="9"/>
  <c r="J188" i="9"/>
  <c r="L188" i="9"/>
  <c r="X188" i="9"/>
  <c r="Z188" i="9"/>
  <c r="J189" i="9"/>
  <c r="L189" i="9"/>
  <c r="X189" i="9"/>
  <c r="Z189" i="9"/>
  <c r="J190" i="9"/>
  <c r="L190" i="9"/>
  <c r="X190" i="9"/>
  <c r="Z190" i="9"/>
  <c r="J191" i="9"/>
  <c r="L191" i="9"/>
  <c r="X191" i="9"/>
  <c r="Z191" i="9"/>
  <c r="J192" i="9"/>
  <c r="M192" i="9" s="1"/>
  <c r="N192" i="9" s="1"/>
  <c r="L192" i="9"/>
  <c r="X192" i="9"/>
  <c r="AA192" i="9" s="1"/>
  <c r="AB192" i="9" s="1"/>
  <c r="Z192" i="9"/>
  <c r="J193" i="9"/>
  <c r="M193" i="9" s="1"/>
  <c r="N193" i="9" s="1"/>
  <c r="L193" i="9"/>
  <c r="X193" i="9"/>
  <c r="AA193" i="9" s="1"/>
  <c r="AB193" i="9" s="1"/>
  <c r="Z193" i="9"/>
  <c r="J194" i="9"/>
  <c r="M194" i="9" s="1"/>
  <c r="N194" i="9" s="1"/>
  <c r="L194" i="9"/>
  <c r="X194" i="9"/>
  <c r="AA194" i="9" s="1"/>
  <c r="AB194" i="9" s="1"/>
  <c r="Z194" i="9"/>
  <c r="J195" i="9"/>
  <c r="M195" i="9" s="1"/>
  <c r="N195" i="9" s="1"/>
  <c r="L195" i="9"/>
  <c r="X195" i="9"/>
  <c r="Z195" i="9"/>
  <c r="X101" i="9" l="1"/>
  <c r="M51" i="9"/>
  <c r="M160" i="9"/>
  <c r="N160" i="9" s="1"/>
  <c r="M156" i="9"/>
  <c r="N156" i="9" s="1"/>
  <c r="M144" i="9"/>
  <c r="N144" i="9" s="1"/>
  <c r="M136" i="9"/>
  <c r="N136" i="9" s="1"/>
  <c r="M105" i="9"/>
  <c r="N105" i="9" s="1"/>
  <c r="AA86" i="9"/>
  <c r="AA179" i="9"/>
  <c r="AB179" i="9" s="1"/>
  <c r="M148" i="9"/>
  <c r="N148" i="9" s="1"/>
  <c r="M140" i="9"/>
  <c r="N140" i="9" s="1"/>
  <c r="M133" i="9"/>
  <c r="N133" i="9" s="1"/>
  <c r="M129" i="9"/>
  <c r="N129" i="9" s="1"/>
  <c r="AA99" i="9"/>
  <c r="AB99" i="9" s="1"/>
  <c r="M92" i="9"/>
  <c r="N92" i="9" s="1"/>
  <c r="M82" i="9"/>
  <c r="N82" i="9" s="1"/>
  <c r="AA128" i="9"/>
  <c r="AB128" i="9" s="1"/>
  <c r="AA75" i="9"/>
  <c r="AB75" i="9" s="1"/>
  <c r="L16" i="11" s="1"/>
  <c r="AA69" i="9"/>
  <c r="AB69" i="9" s="1"/>
  <c r="L7" i="11"/>
  <c r="J125" i="9"/>
  <c r="M125" i="9" s="1"/>
  <c r="J94" i="9"/>
  <c r="J84" i="9"/>
  <c r="J76" i="9"/>
  <c r="J70" i="9"/>
  <c r="J49" i="9"/>
  <c r="J60" i="9"/>
  <c r="M60" i="9" s="1"/>
  <c r="J79" i="9"/>
  <c r="M79" i="9" s="1"/>
  <c r="X121" i="9"/>
  <c r="AA121" i="9" s="1"/>
  <c r="AB121" i="9" s="1"/>
  <c r="X110" i="9"/>
  <c r="AA65" i="9"/>
  <c r="AB63" i="9" s="1"/>
  <c r="L13" i="11" s="1"/>
  <c r="AA133" i="9"/>
  <c r="AB133" i="9" s="1"/>
  <c r="M20" i="9"/>
  <c r="U20" i="9"/>
  <c r="AA20" i="9" s="1"/>
  <c r="AB20" i="9" s="1"/>
  <c r="M23" i="9"/>
  <c r="N23" i="9" s="1"/>
  <c r="U23" i="9"/>
  <c r="AA23" i="9" s="1"/>
  <c r="AB23" i="9" s="1"/>
  <c r="M17" i="9"/>
  <c r="U17" i="9"/>
  <c r="AA17" i="9" s="1"/>
  <c r="AB17" i="9" s="1"/>
  <c r="M81" i="9"/>
  <c r="AA163" i="9"/>
  <c r="AB163" i="9" s="1"/>
  <c r="M150" i="9"/>
  <c r="N150" i="9" s="1"/>
  <c r="AA143" i="9"/>
  <c r="AB143" i="9" s="1"/>
  <c r="AA141" i="9"/>
  <c r="AB141" i="9" s="1"/>
  <c r="AA139" i="9"/>
  <c r="AB139" i="9" s="1"/>
  <c r="L20" i="11" s="1"/>
  <c r="M106" i="9"/>
  <c r="N106" i="9" s="1"/>
  <c r="J17" i="10" s="1"/>
  <c r="M100" i="9"/>
  <c r="N100" i="9" s="1"/>
  <c r="M98" i="9"/>
  <c r="N98" i="9" s="1"/>
  <c r="AA93" i="9"/>
  <c r="AB93" i="9" s="1"/>
  <c r="AA91" i="9"/>
  <c r="AB91" i="9" s="1"/>
  <c r="AA89" i="9"/>
  <c r="AB89" i="9" s="1"/>
  <c r="M74" i="9"/>
  <c r="N74" i="9" s="1"/>
  <c r="M69" i="9"/>
  <c r="N69" i="9" s="1"/>
  <c r="M56" i="9"/>
  <c r="N56" i="9" s="1"/>
  <c r="J8" i="10" s="1"/>
  <c r="M52" i="9"/>
  <c r="N52" i="9" s="1"/>
  <c r="AA155" i="9"/>
  <c r="AB155" i="9" s="1"/>
  <c r="AA147" i="9"/>
  <c r="AB147" i="9" s="1"/>
  <c r="AA104" i="9"/>
  <c r="AB104" i="9" s="1"/>
  <c r="AA182" i="9"/>
  <c r="AB182" i="9" s="1"/>
  <c r="AA157" i="9"/>
  <c r="AB157" i="9" s="1"/>
  <c r="AA153" i="9"/>
  <c r="AB153" i="9" s="1"/>
  <c r="AA145" i="9"/>
  <c r="AB145" i="9" s="1"/>
  <c r="AA135" i="9"/>
  <c r="AB135" i="9" s="1"/>
  <c r="AA96" i="9"/>
  <c r="AA62" i="9"/>
  <c r="AA161" i="9"/>
  <c r="AB161" i="9" s="1"/>
  <c r="AA137" i="9"/>
  <c r="AB137" i="9" s="1"/>
  <c r="AA191" i="9"/>
  <c r="AB191" i="9" s="1"/>
  <c r="AA184" i="9"/>
  <c r="AB184" i="9" s="1"/>
  <c r="AA159" i="9"/>
  <c r="AB159" i="9" s="1"/>
  <c r="AA120" i="9"/>
  <c r="AB120" i="9" s="1"/>
  <c r="AA87" i="9"/>
  <c r="AB87" i="9" s="1"/>
  <c r="AA78" i="9"/>
  <c r="M191" i="9"/>
  <c r="N191" i="9" s="1"/>
  <c r="AA190" i="9"/>
  <c r="AB190" i="9" s="1"/>
  <c r="M189" i="9"/>
  <c r="N189" i="9" s="1"/>
  <c r="AA188" i="9"/>
  <c r="AB188" i="9" s="1"/>
  <c r="M186" i="9"/>
  <c r="N186" i="9" s="1"/>
  <c r="M184" i="9"/>
  <c r="N184" i="9" s="1"/>
  <c r="M182" i="9"/>
  <c r="N182" i="9" s="1"/>
  <c r="AA181" i="9"/>
  <c r="AB181" i="9" s="1"/>
  <c r="M181" i="9"/>
  <c r="N181" i="9" s="1"/>
  <c r="AA180" i="9"/>
  <c r="AB180" i="9" s="1"/>
  <c r="M180" i="9"/>
  <c r="N180" i="9" s="1"/>
  <c r="M152" i="9"/>
  <c r="N152" i="9" s="1"/>
  <c r="AA149" i="9"/>
  <c r="AB149" i="9" s="1"/>
  <c r="AA105" i="9"/>
  <c r="AB105" i="9" s="1"/>
  <c r="AA84" i="9"/>
  <c r="AA55" i="9"/>
  <c r="AB55" i="9" s="1"/>
  <c r="L8" i="11" s="1"/>
  <c r="M49" i="9"/>
  <c r="N49" i="9" s="1"/>
  <c r="X130" i="9"/>
  <c r="AA130" i="9" s="1"/>
  <c r="X114" i="9"/>
  <c r="AA114" i="9" s="1"/>
  <c r="X107" i="9"/>
  <c r="AA107" i="9" s="1"/>
  <c r="X76" i="9"/>
  <c r="AA76" i="9" s="1"/>
  <c r="X66" i="9"/>
  <c r="AA66" i="9" s="1"/>
  <c r="X57" i="9"/>
  <c r="AA57" i="9" s="1"/>
  <c r="X94" i="9"/>
  <c r="AA94" i="9" s="1"/>
  <c r="X117" i="9"/>
  <c r="AA117" i="9" s="1"/>
  <c r="AB117" i="9" s="1"/>
  <c r="X49" i="9"/>
  <c r="AA49" i="9" s="1"/>
  <c r="M99" i="9"/>
  <c r="N99" i="9" s="1"/>
  <c r="M97" i="9"/>
  <c r="N97" i="9" s="1"/>
  <c r="M86" i="9"/>
  <c r="X79" i="9"/>
  <c r="AA79" i="9" s="1"/>
  <c r="X70" i="9"/>
  <c r="AA70" i="9" s="1"/>
  <c r="AB70" i="9" s="1"/>
  <c r="M59" i="9"/>
  <c r="M55" i="9"/>
  <c r="N55" i="9" s="1"/>
  <c r="J7" i="10" s="1"/>
  <c r="M139" i="9"/>
  <c r="N139" i="9" s="1"/>
  <c r="J19" i="10" s="1"/>
  <c r="M75" i="9"/>
  <c r="N75" i="9" s="1"/>
  <c r="J15" i="10" s="1"/>
  <c r="M65" i="9"/>
  <c r="N63" i="9" s="1"/>
  <c r="J12" i="10" s="1"/>
  <c r="AA158" i="9"/>
  <c r="AB158" i="9" s="1"/>
  <c r="M78" i="9"/>
  <c r="M93" i="9"/>
  <c r="N93" i="9" s="1"/>
  <c r="M53" i="9"/>
  <c r="N53" i="9" s="1"/>
  <c r="M190" i="9"/>
  <c r="N190" i="9" s="1"/>
  <c r="M179" i="9"/>
  <c r="N179" i="9" s="1"/>
  <c r="AA173" i="9"/>
  <c r="AB173" i="9" s="1"/>
  <c r="M161" i="9"/>
  <c r="N161" i="9" s="1"/>
  <c r="M159" i="9"/>
  <c r="N159" i="9" s="1"/>
  <c r="M157" i="9"/>
  <c r="N157" i="9" s="1"/>
  <c r="M155" i="9"/>
  <c r="N155" i="9" s="1"/>
  <c r="M153" i="9"/>
  <c r="N153" i="9" s="1"/>
  <c r="M151" i="9"/>
  <c r="N151" i="9" s="1"/>
  <c r="M147" i="9"/>
  <c r="N147" i="9" s="1"/>
  <c r="M141" i="9"/>
  <c r="N141" i="9" s="1"/>
  <c r="M135" i="9"/>
  <c r="N135" i="9" s="1"/>
  <c r="M124" i="9"/>
  <c r="N124" i="9" s="1"/>
  <c r="M120" i="9"/>
  <c r="N120" i="9" s="1"/>
  <c r="M96" i="9"/>
  <c r="M91" i="9"/>
  <c r="N91" i="9" s="1"/>
  <c r="U196" i="9"/>
  <c r="M66" i="9"/>
  <c r="N66" i="9" s="1"/>
  <c r="X60" i="9"/>
  <c r="AA60" i="9" s="1"/>
  <c r="G196" i="9"/>
  <c r="AA82" i="9"/>
  <c r="AB82" i="9" s="1"/>
  <c r="AA98" i="9"/>
  <c r="AB98" i="9" s="1"/>
  <c r="AA177" i="9"/>
  <c r="AB177" i="9" s="1"/>
  <c r="AA100" i="9"/>
  <c r="AB100" i="9" s="1"/>
  <c r="AA186" i="9"/>
  <c r="AB186" i="9" s="1"/>
  <c r="AA138" i="9"/>
  <c r="AB138" i="9" s="1"/>
  <c r="AA156" i="9"/>
  <c r="AB156" i="9" s="1"/>
  <c r="AA150" i="9"/>
  <c r="AB150" i="9" s="1"/>
  <c r="AA172" i="9"/>
  <c r="AB172" i="9" s="1"/>
  <c r="AA113" i="9"/>
  <c r="AB113" i="9" s="1"/>
  <c r="AA144" i="9"/>
  <c r="AB144" i="9" s="1"/>
  <c r="AA178" i="9"/>
  <c r="AB178" i="9" s="1"/>
  <c r="M188" i="9"/>
  <c r="N188" i="9" s="1"/>
  <c r="AA169" i="9"/>
  <c r="AB169" i="9" s="1"/>
  <c r="M149" i="9"/>
  <c r="N149" i="9" s="1"/>
  <c r="AA148" i="9"/>
  <c r="AB148" i="9" s="1"/>
  <c r="AA146" i="9"/>
  <c r="AB146" i="9" s="1"/>
  <c r="M145" i="9"/>
  <c r="N145" i="9" s="1"/>
  <c r="M143" i="9"/>
  <c r="N143" i="9" s="1"/>
  <c r="AA140" i="9"/>
  <c r="AB140" i="9" s="1"/>
  <c r="M137" i="9"/>
  <c r="N137" i="9" s="1"/>
  <c r="AA134" i="9"/>
  <c r="AB134" i="9" s="1"/>
  <c r="M130" i="9"/>
  <c r="N130" i="9" s="1"/>
  <c r="M128" i="9"/>
  <c r="N128" i="9" s="1"/>
  <c r="M101" i="9"/>
  <c r="N101" i="9" s="1"/>
  <c r="M87" i="9"/>
  <c r="N87" i="9" s="1"/>
  <c r="M62" i="9"/>
  <c r="AA51" i="9"/>
  <c r="N20" i="9"/>
  <c r="N11" i="9"/>
  <c r="AA170" i="9"/>
  <c r="AB170" i="9" s="1"/>
  <c r="M70" i="9"/>
  <c r="N70" i="9" s="1"/>
  <c r="M163" i="9"/>
  <c r="N163" i="9" s="1"/>
  <c r="M89" i="9"/>
  <c r="N89" i="9" s="1"/>
  <c r="J57" i="9"/>
  <c r="M57" i="9" s="1"/>
  <c r="AA116" i="9"/>
  <c r="AA68" i="9"/>
  <c r="AA142" i="9"/>
  <c r="AB142" i="9" s="1"/>
  <c r="AA101" i="9"/>
  <c r="AB101" i="9" s="1"/>
  <c r="AA189" i="9"/>
  <c r="AB189" i="9" s="1"/>
  <c r="AA187" i="9"/>
  <c r="AB187" i="9" s="1"/>
  <c r="AA176" i="9"/>
  <c r="AB176" i="9" s="1"/>
  <c r="AA174" i="9"/>
  <c r="AB174" i="9" s="1"/>
  <c r="AA171" i="9"/>
  <c r="AB171" i="9" s="1"/>
  <c r="AA167" i="9"/>
  <c r="AB167" i="9" s="1"/>
  <c r="AA165" i="9"/>
  <c r="AB165" i="9" s="1"/>
  <c r="AA162" i="9"/>
  <c r="AB162" i="9" s="1"/>
  <c r="AA160" i="9"/>
  <c r="AB160" i="9" s="1"/>
  <c r="AA154" i="9"/>
  <c r="AB154" i="9" s="1"/>
  <c r="AA152" i="9"/>
  <c r="AB152" i="9" s="1"/>
  <c r="AA132" i="9"/>
  <c r="AA129" i="9"/>
  <c r="AB129" i="9" s="1"/>
  <c r="AA112" i="9"/>
  <c r="AA92" i="9"/>
  <c r="AB92" i="9" s="1"/>
  <c r="AA88" i="9"/>
  <c r="AB88" i="9" s="1"/>
  <c r="AA81" i="9"/>
  <c r="AA74" i="9"/>
  <c r="AB74" i="9" s="1"/>
  <c r="AA54" i="9"/>
  <c r="AB54" i="9" s="1"/>
  <c r="AA195" i="9"/>
  <c r="AB195" i="9" s="1"/>
  <c r="AA110" i="9"/>
  <c r="M94" i="9"/>
  <c r="M84" i="9"/>
  <c r="M76" i="9"/>
  <c r="AB125" i="9"/>
  <c r="AB84" i="9"/>
  <c r="AB8" i="9"/>
  <c r="M187" i="9"/>
  <c r="N187" i="9" s="1"/>
  <c r="M178" i="9"/>
  <c r="N178" i="9" s="1"/>
  <c r="M177" i="9"/>
  <c r="N177" i="9" s="1"/>
  <c r="M176" i="9"/>
  <c r="N176" i="9" s="1"/>
  <c r="AA175" i="9"/>
  <c r="AB175" i="9" s="1"/>
  <c r="M175" i="9"/>
  <c r="N175" i="9" s="1"/>
  <c r="M174" i="9"/>
  <c r="N174" i="9" s="1"/>
  <c r="M173" i="9"/>
  <c r="N173" i="9" s="1"/>
  <c r="M172" i="9"/>
  <c r="N172" i="9" s="1"/>
  <c r="M171" i="9"/>
  <c r="N171" i="9" s="1"/>
  <c r="M170" i="9"/>
  <c r="N170" i="9" s="1"/>
  <c r="M169" i="9"/>
  <c r="N169" i="9" s="1"/>
  <c r="AA168" i="9"/>
  <c r="AB168" i="9" s="1"/>
  <c r="M168" i="9"/>
  <c r="N168" i="9" s="1"/>
  <c r="AA136" i="9"/>
  <c r="AB136" i="9" s="1"/>
  <c r="AA90" i="9"/>
  <c r="AB90" i="9" s="1"/>
  <c r="AA56" i="9"/>
  <c r="AB56" i="9" s="1"/>
  <c r="AB197" i="9" s="1"/>
  <c r="AA52" i="9"/>
  <c r="AB52" i="9" s="1"/>
  <c r="N121" i="9"/>
  <c r="N114" i="9"/>
  <c r="N125" i="9"/>
  <c r="N117" i="9"/>
  <c r="N110" i="9"/>
  <c r="N107" i="9"/>
  <c r="X109" i="9"/>
  <c r="AA109" i="9" s="1"/>
  <c r="X59" i="9"/>
  <c r="AA59" i="9" s="1"/>
  <c r="AB57" i="9" s="1"/>
  <c r="L10" i="11" s="1"/>
  <c r="AB94" i="9" l="1"/>
  <c r="J6" i="10"/>
  <c r="J18" i="10"/>
  <c r="L18" i="11"/>
  <c r="J20" i="10"/>
  <c r="L21" i="11"/>
  <c r="N79" i="9"/>
  <c r="N76" i="9"/>
  <c r="AB76" i="9"/>
  <c r="N94" i="9"/>
  <c r="N60" i="9"/>
  <c r="AB107" i="9"/>
  <c r="AB60" i="9"/>
  <c r="L9" i="11"/>
  <c r="N84" i="9"/>
  <c r="AB49" i="9"/>
  <c r="AB66" i="9"/>
  <c r="N17" i="9"/>
  <c r="N57" i="9"/>
  <c r="J9" i="10" s="1"/>
  <c r="AB79" i="9"/>
  <c r="N8" i="9"/>
  <c r="AB110" i="9"/>
  <c r="AB130" i="9"/>
  <c r="AB114" i="9"/>
  <c r="N197" i="9" l="1"/>
  <c r="J21" i="10"/>
  <c r="N198" i="9"/>
  <c r="L22" i="11"/>
  <c r="AB198" i="9"/>
</calcChain>
</file>

<file path=xl/sharedStrings.xml><?xml version="1.0" encoding="utf-8"?>
<sst xmlns="http://schemas.openxmlformats.org/spreadsheetml/2006/main" count="1921" uniqueCount="540">
  <si>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</si>
  <si>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</si>
  <si>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</si>
  <si>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</si>
  <si>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</si>
  <si>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</si>
  <si>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</si>
  <si>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</si>
  <si>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</si>
  <si>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</si>
  <si>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</si>
  <si>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</si>
  <si>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</si>
  <si>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</si>
  <si>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</si>
  <si>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</si>
  <si>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</si>
  <si>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</si>
  <si>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</si>
  <si>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</si>
  <si>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</si>
  <si>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</si>
  <si>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</si>
  <si>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</si>
  <si>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</si>
  <si>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</si>
  <si>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</si>
  <si>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</si>
  <si>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</si>
  <si>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</si>
  <si>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</si>
  <si>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</si>
  <si>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</si>
  <si>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</si>
  <si>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</si>
  <si>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</si>
  <si>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</si>
  <si>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</si>
  <si>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</si>
  <si>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</si>
  <si>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</si>
  <si>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</si>
  <si>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</si>
  <si>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</si>
  <si>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</si>
  <si>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</si>
  <si>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</si>
  <si>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</si>
  <si>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</si>
  <si>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</si>
  <si>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</si>
  <si>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</si>
  <si>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</si>
  <si>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</si>
  <si>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</si>
  <si>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</si>
  <si>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</si>
  <si>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</si>
  <si>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</si>
  <si>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</si>
  <si>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</si>
  <si>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</si>
  <si>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</si>
  <si>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</si>
  <si>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</si>
  <si>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</si>
  <si>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</si>
  <si>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</si>
  <si>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</si>
  <si>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</si>
  <si>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</si>
  <si>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</si>
  <si>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</si>
  <si>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</si>
  <si>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</si>
  <si>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</si>
  <si>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</si>
  <si>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</si>
  <si>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</si>
  <si>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</si>
  <si>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</si>
  <si>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</si>
  <si>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</si>
  <si>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</si>
  <si>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</si>
  <si>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</si>
  <si>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</si>
  <si>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</si>
  <si>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</si>
  <si>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</si>
  <si>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</si>
  <si>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</si>
  <si>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</si>
  <si>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</si>
  <si>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</si>
  <si>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</si>
  <si>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</si>
  <si>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</si>
  <si>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</si>
  <si>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</si>
  <si>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</si>
  <si>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</si>
  <si>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</si>
  <si>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</si>
  <si>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</si>
  <si>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</si>
  <si>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</si>
  <si>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</si>
  <si>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</si>
  <si>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</si>
  <si>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</si>
  <si>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</si>
  <si>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</si>
  <si>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</si>
  <si>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</si>
  <si>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</si>
  <si>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</si>
  <si>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</si>
  <si>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</si>
  <si>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</si>
  <si>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</si>
  <si>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</si>
  <si>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</si>
  <si>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</si>
  <si>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</si>
  <si>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</si>
  <si>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</si>
  <si>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</si>
  <si>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</si>
  <si>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</si>
  <si>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</si>
  <si>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</si>
  <si>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</si>
  <si>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</si>
  <si>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</si>
  <si>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</si>
  <si>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</si>
  <si>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</si>
  <si>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</si>
  <si>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</si>
  <si>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</si>
  <si>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</si>
  <si>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</si>
  <si>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</si>
  <si>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</si>
  <si>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</si>
  <si>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</si>
  <si>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</si>
  <si>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</si>
  <si>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</si>
  <si>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</si>
  <si>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</si>
  <si>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</si>
  <si>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</si>
  <si>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</si>
  <si>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</si>
  <si>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</si>
  <si>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</si>
  <si>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</si>
  <si>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</si>
  <si>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</si>
  <si>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</si>
  <si>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</si>
  <si>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</si>
  <si>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</si>
  <si>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</si>
  <si>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</si>
  <si>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</si>
  <si>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</si>
  <si>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</si>
  <si>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</si>
  <si>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</si>
  <si>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</si>
  <si>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</si>
  <si>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</si>
  <si>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</si>
  <si>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</si>
  <si>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</si>
  <si>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</si>
  <si>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</si>
  <si>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</si>
  <si>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</si>
  <si>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</si>
  <si>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</si>
  <si>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</si>
  <si>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</si>
  <si>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</si>
  <si>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</si>
  <si>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</si>
  <si>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</si>
  <si>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</si>
  <si>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</si>
  <si>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</si>
  <si>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</si>
  <si>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</si>
  <si>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</si>
  <si>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</si>
  <si>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</si>
  <si>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</si>
  <si>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</si>
  <si>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</si>
  <si>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</si>
  <si>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</si>
  <si>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</si>
  <si>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</si>
  <si>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</si>
  <si>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</si>
  <si>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</si>
  <si>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</si>
  <si>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</si>
  <si>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</si>
  <si>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</si>
  <si>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</si>
  <si>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</si>
  <si>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</si>
  <si>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</si>
  <si>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</si>
  <si>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</si>
  <si>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</si>
  <si>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</si>
  <si>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</si>
  <si>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</si>
  <si>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110/35/6кВ Дормашевская</t>
  </si>
  <si>
    <t>ПС 110/6кВ Западная</t>
  </si>
  <si>
    <t>ПС 35/10кВ Ружненская</t>
  </si>
  <si>
    <t>40+25+40</t>
  </si>
  <si>
    <t>Текущий статус</t>
  </si>
  <si>
    <t>Перспективный статус</t>
  </si>
  <si>
    <t>Широта</t>
  </si>
  <si>
    <t>Долгота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</si>
  <si>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</si>
  <si>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</si>
  <si>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</si>
  <si>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</si>
  <si>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</si>
  <si>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</si>
  <si>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</si>
  <si>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</si>
  <si>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</si>
  <si>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</si>
  <si>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</si>
  <si>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</si>
  <si>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</si>
  <si>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</si>
  <si>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</si>
  <si>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</si>
  <si>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</si>
  <si>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</si>
  <si>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</si>
  <si>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</si>
  <si>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</si>
  <si>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</si>
  <si>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</si>
  <si>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</si>
  <si>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</si>
  <si>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</si>
  <si>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</si>
  <si>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</si>
  <si>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</si>
  <si>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</si>
  <si>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</si>
  <si>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</si>
  <si>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</si>
  <si>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</si>
  <si>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</si>
  <si>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</si>
  <si>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</si>
  <si>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</si>
  <si>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</si>
  <si>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</si>
  <si>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</si>
  <si>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</si>
  <si>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</si>
  <si>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</si>
  <si>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</si>
  <si>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</si>
  <si>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</si>
  <si>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</si>
  <si>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</si>
  <si>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</si>
  <si>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</si>
  <si>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</si>
  <si>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</si>
  <si>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</si>
  <si>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</si>
  <si>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</si>
  <si>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</si>
  <si>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</si>
  <si>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</si>
  <si>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</si>
  <si>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</si>
  <si>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</si>
  <si>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</si>
  <si>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</si>
  <si>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</si>
  <si>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</si>
  <si>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</si>
  <si>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</si>
  <si>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</si>
  <si>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</si>
  <si>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</si>
  <si>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</si>
  <si>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</si>
  <si>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</si>
  <si>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</si>
  <si>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</si>
  <si>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</si>
  <si>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</si>
  <si>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</si>
  <si>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</si>
  <si>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</si>
  <si>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</si>
  <si>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</si>
  <si>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</si>
  <si>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</si>
  <si>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</si>
  <si>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</si>
  <si>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</si>
  <si>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</si>
  <si>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</si>
  <si>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</si>
  <si>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</si>
  <si>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</si>
  <si>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</si>
  <si>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</si>
  <si>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</si>
  <si>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</si>
  <si>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</si>
  <si>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</si>
  <si>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</si>
  <si>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</si>
  <si>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</si>
  <si>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</si>
  <si>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</si>
  <si>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</si>
  <si>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</si>
  <si>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</si>
  <si>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</si>
  <si>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</si>
  <si>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</si>
  <si>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</si>
  <si>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</si>
  <si>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</si>
  <si>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</si>
  <si>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</si>
  <si>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</si>
  <si>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</si>
  <si>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</si>
  <si>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</si>
  <si>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</si>
  <si>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</si>
  <si>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</si>
  <si>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</si>
  <si>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</si>
  <si>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</si>
  <si>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</si>
  <si>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</si>
  <si>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</si>
  <si>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</si>
  <si>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</si>
  <si>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</si>
  <si>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</si>
  <si>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</si>
  <si>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</si>
  <si>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</si>
  <si>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</si>
  <si>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</si>
  <si>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</si>
  <si>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</si>
  <si>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</si>
  <si>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</si>
  <si>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</si>
  <si>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</si>
  <si>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</si>
  <si>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</si>
  <si>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</si>
  <si>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</si>
  <si>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</si>
  <si>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</si>
  <si>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</si>
  <si>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</si>
  <si>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</si>
  <si>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</si>
  <si>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</si>
  <si>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</si>
  <si>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</si>
  <si>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</si>
  <si>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</si>
  <si>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</si>
  <si>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</si>
  <si>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</si>
  <si>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</si>
  <si>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</si>
  <si>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</si>
  <si>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</si>
  <si>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</si>
  <si>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</si>
  <si>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</si>
  <si>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</si>
  <si>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</si>
  <si>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</si>
  <si>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</si>
  <si>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</si>
  <si>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</si>
  <si>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</si>
  <si>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</si>
  <si>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</si>
  <si>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</si>
  <si>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</si>
  <si>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</si>
  <si>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</si>
  <si>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</si>
  <si>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</si>
  <si>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</si>
  <si>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</si>
  <si>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</si>
  <si>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</si>
  <si>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</si>
  <si>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</si>
  <si>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</si>
  <si>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</si>
  <si>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</si>
  <si>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</si>
  <si>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</si>
  <si>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</si>
  <si>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</si>
  <si>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</si>
  <si>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</si>
  <si>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</si>
  <si>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</si>
  <si>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</si>
  <si>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</si>
  <si>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</si>
  <si>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</si>
  <si>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</si>
  <si>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</si>
  <si>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</si>
  <si>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</si>
  <si>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</si>
  <si>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</si>
  <si>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</si>
  <si>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</si>
  <si>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</si>
  <si>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</si>
  <si>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</si>
  <si>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</si>
  <si>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</si>
  <si>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</si>
  <si>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</si>
  <si>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</si>
  <si>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</si>
  <si>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</si>
  <si>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</si>
  <si>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</si>
  <si>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</si>
  <si>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</si>
  <si>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</si>
  <si>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</si>
  <si>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</si>
  <si>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</si>
  <si>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</si>
  <si>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</si>
  <si>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</si>
  <si>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</si>
  <si>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</si>
  <si>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</si>
  <si>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</si>
  <si>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</si>
  <si>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</si>
  <si>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</si>
  <si>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</si>
  <si>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</si>
  <si>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</si>
  <si>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</si>
  <si>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</si>
  <si>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</si>
  <si>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</si>
  <si>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</si>
  <si>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</si>
  <si>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</si>
  <si>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</si>
  <si>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</si>
  <si>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</si>
  <si>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</si>
  <si>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</si>
  <si>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</si>
  <si>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</si>
  <si>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</si>
  <si>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</si>
  <si>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</si>
  <si>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</si>
  <si>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</si>
  <si>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</si>
  <si>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</si>
  <si>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</si>
  <si>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</si>
  <si>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</si>
  <si>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</si>
  <si>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</si>
  <si>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</si>
  <si>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</si>
  <si>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</si>
  <si>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</si>
  <si>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</si>
  <si>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</si>
  <si>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</si>
  <si>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</si>
  <si>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</si>
  <si>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</si>
  <si>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</si>
  <si>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</si>
  <si>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</si>
  <si>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</si>
  <si>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</si>
  <si>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</si>
  <si>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</si>
  <si>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 xml:space="preserve"> </t>
  </si>
  <si>
    <t>Перечень закрытых центров питания ОАО "МРСК Центра"  по зимним нагрузкам 2012 года (текущий дефицит мощности).</t>
  </si>
  <si>
    <t>1963/2001</t>
  </si>
  <si>
    <t>1964/1990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</si>
  <si>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</si>
  <si>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</si>
  <si>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</si>
  <si>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</si>
  <si>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</si>
  <si>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</si>
  <si>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</si>
  <si>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</si>
  <si>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1969/1998</t>
  </si>
  <si>
    <t>1964/2010</t>
  </si>
  <si>
    <t>1946/2009</t>
  </si>
  <si>
    <t>1956/2005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</si>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</sst>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</cellStyleXfs>
  <cellXfs count="250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20" fillId="2" borderId="5" xfId="0" applyNumberFormat="1" applyFont="1" applyFill="1" applyBorder="1"/>
    <xf numFmtId="164" fontId="20" fillId="2" borderId="6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20" fillId="2" borderId="5" xfId="0" applyFont="1" applyFill="1" applyBorder="1"/>
    <xf numFmtId="0" fontId="20" fillId="2" borderId="6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3" borderId="1" xfId="0" applyFont="1" applyFill="1" applyBorder="1" applyAlignment="1"/>
    <xf numFmtId="2" fontId="2" fillId="0" borderId="0" xfId="0" applyNumberFormat="1" applyFont="1" applyAlignment="1"/>
    <xf numFmtId="0" fontId="0" fillId="0" borderId="0" xfId="0" applyAlignment="1"/>
    <xf numFmtId="2" fontId="16" fillId="0" borderId="0" xfId="0" applyNumberFormat="1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/>
  </cellXfs>
  <cellStyles count="9">
    <cellStyle name="Обычный" xfId="0" builtinId="0"/>
    <cellStyle name="Обычный 10" xfId="7"/>
    <cellStyle name="Обычный 2" xfId="8"/>
    <cellStyle name="Обычный 3" xfId="1"/>
    <cellStyle name="Обычный 4" xfId="2"/>
    <cellStyle name="Обычный 5" xfId="4"/>
    <cellStyle name="Обычный 7" xfId="5"/>
    <cellStyle name="Обычный 8" xfId="6"/>
    <cellStyle name="Обычный 9" xfId="3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35"/>
  <sheetViews>
    <sheetView zoomScale="86" zoomScaleNormal="86" workbookViewId="0">
      <pane ySplit="5" topLeftCell="A175" activePane="bottomLeft" state="frozen"/>
      <selection pane="bottomLeft" activeCell="R7" sqref="R7:T195"/>
    </sheetView>
  </sheetViews>
  <sheetFormatPr defaultRowHeight="15" x14ac:dyDescent="0.25"/>
  <cols>
    <col min="1" max="1" width="6" style="60" customWidth="1"/>
    <col min="2" max="2" width="15" customWidth="1"/>
    <col min="3" max="3" width="9.140625" style="60"/>
    <col min="4" max="5" width="0" style="60" hidden="1" customWidth="1"/>
    <col min="6" max="6" width="9.140625" style="60"/>
    <col min="16" max="16" width="2.7109375" customWidth="1"/>
    <col min="17" max="17" width="5.140625" customWidth="1"/>
    <col min="18" max="18" width="12.7109375" style="242" customWidth="1"/>
    <col min="19" max="19" width="9.140625" style="242"/>
    <col min="20" max="20" width="7.28515625" style="242" customWidth="1"/>
    <col min="21" max="22" width="9.140625" style="242"/>
  </cols>
  <sheetData>
    <row r="1" spans="1:29" s="1" customFormat="1" ht="11.25" x14ac:dyDescent="0.2">
      <c r="A1" s="74"/>
      <c r="C1" s="74"/>
      <c r="D1" s="74"/>
      <c r="E1" s="74"/>
      <c r="F1" s="74"/>
      <c r="M1" s="146"/>
      <c r="N1" s="146"/>
      <c r="O1" s="43"/>
      <c r="P1" s="43"/>
      <c r="Q1" s="43"/>
      <c r="R1" s="239"/>
      <c r="S1" s="239"/>
      <c r="T1" s="239"/>
      <c r="U1" s="239"/>
      <c r="V1" s="239"/>
      <c r="AA1" s="139"/>
      <c r="AB1" s="139"/>
    </row>
    <row r="2" spans="1:29" s="1" customFormat="1" ht="11.25" x14ac:dyDescent="0.2">
      <c r="A2" s="74"/>
      <c r="C2" s="74"/>
      <c r="D2" s="74"/>
      <c r="E2" s="74"/>
      <c r="F2" s="74"/>
      <c r="M2" s="147" t="s">
        <v>0</v>
      </c>
      <c r="N2" s="147"/>
      <c r="O2" s="43"/>
      <c r="P2" s="43"/>
      <c r="Q2" s="43"/>
      <c r="R2" s="239"/>
      <c r="S2" s="239"/>
      <c r="T2" s="239"/>
      <c r="U2" s="239"/>
      <c r="V2" s="239"/>
      <c r="AA2" s="140" t="s">
        <v>15</v>
      </c>
      <c r="AB2" s="140"/>
    </row>
    <row r="3" spans="1:29" s="1" customFormat="1" ht="56.25" x14ac:dyDescent="0.25">
      <c r="A3" s="183" t="s">
        <v>1</v>
      </c>
      <c r="B3" s="186" t="s">
        <v>2</v>
      </c>
      <c r="C3" s="154" t="s">
        <v>3</v>
      </c>
      <c r="D3" s="155"/>
      <c r="E3" s="155"/>
      <c r="F3" s="155"/>
      <c r="G3" s="189"/>
      <c r="H3" s="189"/>
      <c r="I3" s="189"/>
      <c r="J3" s="189"/>
      <c r="K3" s="189"/>
      <c r="L3" s="189"/>
      <c r="M3" s="189"/>
      <c r="N3" s="190"/>
      <c r="O3" s="148" t="s">
        <v>16</v>
      </c>
      <c r="P3" s="42"/>
      <c r="Q3" s="151" t="s">
        <v>1</v>
      </c>
      <c r="R3" s="134" t="s">
        <v>2</v>
      </c>
      <c r="S3" s="131" t="s">
        <v>17</v>
      </c>
      <c r="T3" s="136"/>
      <c r="U3" s="136"/>
      <c r="V3" s="136"/>
      <c r="W3" s="136"/>
      <c r="X3" s="136"/>
      <c r="Y3" s="136"/>
      <c r="Z3" s="136"/>
      <c r="AA3" s="136"/>
      <c r="AB3" s="142"/>
      <c r="AC3" s="148" t="s">
        <v>16</v>
      </c>
    </row>
    <row r="4" spans="1:29" s="1" customFormat="1" ht="64.150000000000006" customHeight="1" x14ac:dyDescent="0.25">
      <c r="A4" s="184"/>
      <c r="B4" s="187"/>
      <c r="C4" s="191" t="s">
        <v>4</v>
      </c>
      <c r="D4" s="124"/>
      <c r="E4" s="124"/>
      <c r="F4" s="127"/>
      <c r="G4" s="186" t="s">
        <v>5</v>
      </c>
      <c r="H4" s="154" t="s">
        <v>6</v>
      </c>
      <c r="I4" s="190"/>
      <c r="J4" s="186" t="s">
        <v>7</v>
      </c>
      <c r="K4" s="186" t="s">
        <v>8</v>
      </c>
      <c r="L4" s="186" t="s">
        <v>9</v>
      </c>
      <c r="M4" s="156" t="s">
        <v>18</v>
      </c>
      <c r="N4" s="164"/>
      <c r="O4" s="159"/>
      <c r="P4" s="42"/>
      <c r="Q4" s="152"/>
      <c r="R4" s="134"/>
      <c r="S4" s="134" t="s">
        <v>19</v>
      </c>
      <c r="T4" s="134" t="s">
        <v>20</v>
      </c>
      <c r="U4" s="134" t="s">
        <v>21</v>
      </c>
      <c r="V4" s="134" t="s">
        <v>22</v>
      </c>
      <c r="W4" s="135"/>
      <c r="X4" s="134" t="s">
        <v>7</v>
      </c>
      <c r="Y4" s="134" t="s">
        <v>8</v>
      </c>
      <c r="Z4" s="134" t="s">
        <v>9</v>
      </c>
      <c r="AA4" s="141" t="s">
        <v>18</v>
      </c>
      <c r="AB4" s="143"/>
      <c r="AC4" s="149"/>
    </row>
    <row r="5" spans="1:29" s="1" customFormat="1" ht="64.5" customHeight="1" x14ac:dyDescent="0.2">
      <c r="A5" s="185"/>
      <c r="B5" s="188"/>
      <c r="C5" s="192"/>
      <c r="D5" s="125"/>
      <c r="E5" s="125"/>
      <c r="F5" s="128"/>
      <c r="G5" s="188"/>
      <c r="H5" s="39" t="s">
        <v>10</v>
      </c>
      <c r="I5" s="39" t="s">
        <v>11</v>
      </c>
      <c r="J5" s="188"/>
      <c r="K5" s="188"/>
      <c r="L5" s="188"/>
      <c r="M5" s="165"/>
      <c r="N5" s="166"/>
      <c r="O5" s="160"/>
      <c r="P5" s="42"/>
      <c r="Q5" s="153"/>
      <c r="R5" s="134"/>
      <c r="S5" s="134"/>
      <c r="T5" s="134"/>
      <c r="U5" s="134"/>
      <c r="V5" s="134" t="s">
        <v>10</v>
      </c>
      <c r="W5" s="134" t="s">
        <v>11</v>
      </c>
      <c r="X5" s="134"/>
      <c r="Y5" s="134"/>
      <c r="Z5" s="134"/>
      <c r="AA5" s="144"/>
      <c r="AB5" s="145"/>
      <c r="AC5" s="150"/>
    </row>
    <row r="6" spans="1:29" s="1" customFormat="1" ht="11.25" x14ac:dyDescent="0.2">
      <c r="A6" s="92">
        <v>1</v>
      </c>
      <c r="B6" s="39">
        <v>2</v>
      </c>
      <c r="C6" s="92">
        <v>3</v>
      </c>
      <c r="D6" s="92"/>
      <c r="E6" s="92"/>
      <c r="F6" s="92"/>
      <c r="G6" s="39">
        <v>4</v>
      </c>
      <c r="H6" s="39">
        <v>5</v>
      </c>
      <c r="I6" s="39">
        <v>6</v>
      </c>
      <c r="J6" s="39">
        <v>7</v>
      </c>
      <c r="K6" s="39">
        <v>8</v>
      </c>
      <c r="L6" s="39">
        <v>9</v>
      </c>
      <c r="M6" s="39">
        <v>10</v>
      </c>
      <c r="N6" s="39">
        <v>11</v>
      </c>
      <c r="O6" s="41">
        <v>12</v>
      </c>
      <c r="P6" s="40"/>
      <c r="Q6" s="39">
        <v>1</v>
      </c>
      <c r="R6" s="134">
        <v>2</v>
      </c>
      <c r="S6" s="134">
        <v>3</v>
      </c>
      <c r="T6" s="134">
        <v>4</v>
      </c>
      <c r="U6" s="134">
        <v>5</v>
      </c>
      <c r="V6" s="134">
        <v>6</v>
      </c>
      <c r="W6" s="134">
        <v>7</v>
      </c>
      <c r="X6" s="134">
        <v>8</v>
      </c>
      <c r="Y6" s="134">
        <v>9</v>
      </c>
      <c r="Z6" s="134">
        <v>10</v>
      </c>
      <c r="AA6" s="134">
        <v>11</v>
      </c>
      <c r="AB6" s="134">
        <v>12</v>
      </c>
      <c r="AC6" s="38">
        <v>13</v>
      </c>
    </row>
    <row r="7" spans="1:29" s="1" customFormat="1" ht="22.5" x14ac:dyDescent="0.2">
      <c r="A7" s="18">
        <v>1</v>
      </c>
      <c r="B7" s="18" t="s">
        <v>67</v>
      </c>
      <c r="C7" s="18">
        <v>6.3</v>
      </c>
      <c r="D7" s="18">
        <v>1.0900000000000001</v>
      </c>
      <c r="E7" s="18">
        <v>0.08</v>
      </c>
      <c r="F7" s="18"/>
      <c r="G7" s="47">
        <v>1.093</v>
      </c>
      <c r="H7" s="12">
        <f>C7</f>
        <v>6.3</v>
      </c>
      <c r="I7" s="12" t="s">
        <v>12</v>
      </c>
      <c r="J7" s="48">
        <f t="shared" ref="J7:J48" si="0">H7</f>
        <v>6.3</v>
      </c>
      <c r="K7" s="12">
        <v>0</v>
      </c>
      <c r="L7" s="48">
        <f t="shared" ref="L7:L48" si="1">H7</f>
        <v>6.3</v>
      </c>
      <c r="M7" s="106">
        <f t="shared" ref="M7:M48" si="2">L7-G7</f>
        <v>5.2069999999999999</v>
      </c>
      <c r="N7" s="106">
        <f>M7</f>
        <v>5.2069999999999999</v>
      </c>
      <c r="O7" s="17" t="s">
        <v>24</v>
      </c>
      <c r="P7" s="16"/>
      <c r="Q7" s="18">
        <v>1</v>
      </c>
      <c r="R7" s="12" t="s">
        <v>67</v>
      </c>
      <c r="S7" s="12">
        <v>6.3</v>
      </c>
      <c r="T7" s="47">
        <f>0.0075</f>
        <v>7.4999999999999997E-3</v>
      </c>
      <c r="U7" s="79">
        <f t="shared" ref="U7:U13" si="3">T7+G7</f>
        <v>1.1005</v>
      </c>
      <c r="V7" s="18">
        <f t="shared" ref="V7:W12" si="4">H7</f>
        <v>6.3</v>
      </c>
      <c r="W7" s="18" t="str">
        <f t="shared" si="4"/>
        <v>1 сутки</v>
      </c>
      <c r="X7" s="64">
        <f t="shared" ref="X7:X48" si="5">V7</f>
        <v>6.3</v>
      </c>
      <c r="Y7" s="18">
        <v>0</v>
      </c>
      <c r="Z7" s="66">
        <f t="shared" ref="Z7:Z48" si="6">V7</f>
        <v>6.3</v>
      </c>
      <c r="AA7" s="90">
        <f t="shared" ref="AA7:AA48" si="7">Z7-U7</f>
        <v>5.1994999999999996</v>
      </c>
      <c r="AB7" s="90">
        <f>AA7</f>
        <v>5.1994999999999996</v>
      </c>
      <c r="AC7" s="12" t="s">
        <v>24</v>
      </c>
    </row>
    <row r="8" spans="1:29" s="1" customFormat="1" ht="22.5" x14ac:dyDescent="0.2">
      <c r="A8" s="169">
        <v>2</v>
      </c>
      <c r="B8" s="12" t="s">
        <v>90</v>
      </c>
      <c r="C8" s="69">
        <v>16</v>
      </c>
      <c r="D8" s="69"/>
      <c r="E8" s="69"/>
      <c r="F8" s="69"/>
      <c r="G8" s="47">
        <f>G9+G10</f>
        <v>4.0430000000000001</v>
      </c>
      <c r="H8" s="12">
        <v>16</v>
      </c>
      <c r="I8" s="12" t="s">
        <v>12</v>
      </c>
      <c r="J8" s="48">
        <f t="shared" si="0"/>
        <v>16</v>
      </c>
      <c r="K8" s="12">
        <v>0</v>
      </c>
      <c r="L8" s="48">
        <f t="shared" si="1"/>
        <v>16</v>
      </c>
      <c r="M8" s="106">
        <f t="shared" si="2"/>
        <v>11.957000000000001</v>
      </c>
      <c r="N8" s="157">
        <f>MIN(M8:M10)</f>
        <v>11.957000000000001</v>
      </c>
      <c r="O8" s="158" t="s">
        <v>24</v>
      </c>
      <c r="P8" s="16"/>
      <c r="Q8" s="169">
        <v>2</v>
      </c>
      <c r="R8" s="12" t="s">
        <v>90</v>
      </c>
      <c r="S8" s="15">
        <v>16</v>
      </c>
      <c r="T8" s="86">
        <f>T10</f>
        <v>5.62E-2</v>
      </c>
      <c r="U8" s="79">
        <f t="shared" si="3"/>
        <v>4.0991999999999997</v>
      </c>
      <c r="V8" s="18">
        <f t="shared" si="4"/>
        <v>16</v>
      </c>
      <c r="W8" s="18" t="str">
        <f t="shared" si="4"/>
        <v>1 сутки</v>
      </c>
      <c r="X8" s="64">
        <f t="shared" si="5"/>
        <v>16</v>
      </c>
      <c r="Y8" s="18">
        <v>0</v>
      </c>
      <c r="Z8" s="66">
        <f t="shared" si="6"/>
        <v>16</v>
      </c>
      <c r="AA8" s="90">
        <f t="shared" si="7"/>
        <v>11.9008</v>
      </c>
      <c r="AB8" s="129">
        <f>MIN(AA8:AA10)</f>
        <v>11.9008</v>
      </c>
      <c r="AC8" s="158" t="s">
        <v>24</v>
      </c>
    </row>
    <row r="9" spans="1:29" s="1" customFormat="1" ht="22.5" hidden="1" customHeight="1" x14ac:dyDescent="0.2">
      <c r="A9" s="170"/>
      <c r="B9" s="27" t="s">
        <v>56</v>
      </c>
      <c r="C9" s="63">
        <v>16</v>
      </c>
      <c r="D9" s="63">
        <f>D36+D148+D156</f>
        <v>2.3820000000000001</v>
      </c>
      <c r="E9" s="63">
        <f>E36+E148+E156</f>
        <v>1.0209999999999999</v>
      </c>
      <c r="F9" s="63"/>
      <c r="G9" s="48">
        <v>2.6030000000000002</v>
      </c>
      <c r="H9" s="12">
        <f>C9</f>
        <v>16</v>
      </c>
      <c r="I9" s="12" t="s">
        <v>12</v>
      </c>
      <c r="J9" s="48">
        <f t="shared" si="0"/>
        <v>16</v>
      </c>
      <c r="K9" s="12">
        <v>0</v>
      </c>
      <c r="L9" s="48">
        <f t="shared" si="1"/>
        <v>16</v>
      </c>
      <c r="M9" s="106">
        <f t="shared" si="2"/>
        <v>13.397</v>
      </c>
      <c r="N9" s="179"/>
      <c r="O9" s="167"/>
      <c r="P9" s="16"/>
      <c r="Q9" s="170"/>
      <c r="R9" s="27" t="s">
        <v>56</v>
      </c>
      <c r="S9" s="28">
        <v>16</v>
      </c>
      <c r="T9" s="85"/>
      <c r="U9" s="79">
        <f t="shared" si="3"/>
        <v>2.6030000000000002</v>
      </c>
      <c r="V9" s="18">
        <f t="shared" si="4"/>
        <v>16</v>
      </c>
      <c r="W9" s="18" t="str">
        <f t="shared" si="4"/>
        <v>1 сутки</v>
      </c>
      <c r="X9" s="64">
        <f t="shared" si="5"/>
        <v>16</v>
      </c>
      <c r="Y9" s="18">
        <v>0</v>
      </c>
      <c r="Z9" s="66">
        <f t="shared" si="6"/>
        <v>16</v>
      </c>
      <c r="AA9" s="90">
        <f t="shared" si="7"/>
        <v>13.397</v>
      </c>
      <c r="AB9" s="132"/>
      <c r="AC9" s="167"/>
    </row>
    <row r="10" spans="1:29" s="1" customFormat="1" ht="21.75" hidden="1" customHeight="1" x14ac:dyDescent="0.2">
      <c r="A10" s="171"/>
      <c r="B10" s="27" t="s">
        <v>44</v>
      </c>
      <c r="C10" s="63">
        <v>16</v>
      </c>
      <c r="D10" s="63">
        <v>1.343</v>
      </c>
      <c r="E10" s="63">
        <v>0.52</v>
      </c>
      <c r="F10" s="63"/>
      <c r="G10" s="48">
        <v>1.44</v>
      </c>
      <c r="H10" s="12">
        <f>C10</f>
        <v>16</v>
      </c>
      <c r="I10" s="12" t="s">
        <v>12</v>
      </c>
      <c r="J10" s="48">
        <f t="shared" si="0"/>
        <v>16</v>
      </c>
      <c r="K10" s="12">
        <v>0</v>
      </c>
      <c r="L10" s="48">
        <f t="shared" si="1"/>
        <v>16</v>
      </c>
      <c r="M10" s="106">
        <f t="shared" si="2"/>
        <v>14.56</v>
      </c>
      <c r="N10" s="180"/>
      <c r="O10" s="168"/>
      <c r="P10" s="16"/>
      <c r="Q10" s="171"/>
      <c r="R10" s="27" t="s">
        <v>44</v>
      </c>
      <c r="S10" s="28">
        <v>16</v>
      </c>
      <c r="T10" s="85">
        <f>0.051+0.003-0.0032+0.0054</f>
        <v>5.62E-2</v>
      </c>
      <c r="U10" s="79">
        <f t="shared" si="3"/>
        <v>1.4962</v>
      </c>
      <c r="V10" s="18">
        <f t="shared" si="4"/>
        <v>16</v>
      </c>
      <c r="W10" s="18" t="str">
        <f t="shared" si="4"/>
        <v>1 сутки</v>
      </c>
      <c r="X10" s="64">
        <f t="shared" si="5"/>
        <v>16</v>
      </c>
      <c r="Y10" s="18">
        <v>0</v>
      </c>
      <c r="Z10" s="66">
        <f t="shared" si="6"/>
        <v>16</v>
      </c>
      <c r="AA10" s="90">
        <f t="shared" si="7"/>
        <v>14.5038</v>
      </c>
      <c r="AB10" s="133"/>
      <c r="AC10" s="168"/>
    </row>
    <row r="11" spans="1:29" s="1" customFormat="1" ht="22.5" x14ac:dyDescent="0.2">
      <c r="A11" s="18">
        <v>3</v>
      </c>
      <c r="B11" s="18" t="s">
        <v>92</v>
      </c>
      <c r="C11" s="69">
        <v>6.3</v>
      </c>
      <c r="D11" s="69">
        <v>1.7</v>
      </c>
      <c r="E11" s="69">
        <v>0.42</v>
      </c>
      <c r="F11" s="69"/>
      <c r="G11" s="47">
        <v>1.7509999999999999</v>
      </c>
      <c r="H11" s="12">
        <f>C11</f>
        <v>6.3</v>
      </c>
      <c r="I11" s="12" t="s">
        <v>12</v>
      </c>
      <c r="J11" s="48">
        <f t="shared" si="0"/>
        <v>6.3</v>
      </c>
      <c r="K11" s="12">
        <v>0</v>
      </c>
      <c r="L11" s="48">
        <f t="shared" si="1"/>
        <v>6.3</v>
      </c>
      <c r="M11" s="106">
        <f t="shared" si="2"/>
        <v>4.5489999999999995</v>
      </c>
      <c r="N11" s="106">
        <f t="shared" ref="N11:N16" si="8">M11</f>
        <v>4.5489999999999995</v>
      </c>
      <c r="O11" s="17" t="s">
        <v>24</v>
      </c>
      <c r="P11" s="16"/>
      <c r="Q11" s="18">
        <v>3</v>
      </c>
      <c r="R11" s="12" t="s">
        <v>92</v>
      </c>
      <c r="S11" s="15">
        <v>6.3</v>
      </c>
      <c r="T11" s="86">
        <f>0.047+0.005+0.001+0.011+0.065+0.048+0.016+0.01+0.0484-0.064+0.0161+0.016+0.0161+0.005376-0.0366+0.021+0.0229+0.0048+0.0054-0.0263+0.0054</f>
        <v>0.23757600000000004</v>
      </c>
      <c r="U11" s="79">
        <f t="shared" si="3"/>
        <v>1.9885759999999999</v>
      </c>
      <c r="V11" s="18">
        <f t="shared" si="4"/>
        <v>6.3</v>
      </c>
      <c r="W11" s="18" t="str">
        <f t="shared" si="4"/>
        <v>1 сутки</v>
      </c>
      <c r="X11" s="64">
        <f t="shared" si="5"/>
        <v>6.3</v>
      </c>
      <c r="Y11" s="18">
        <v>0</v>
      </c>
      <c r="Z11" s="66">
        <f t="shared" si="6"/>
        <v>6.3</v>
      </c>
      <c r="AA11" s="90">
        <f t="shared" si="7"/>
        <v>4.3114239999999997</v>
      </c>
      <c r="AB11" s="90">
        <f t="shared" ref="AB11:AB16" si="9">AA11</f>
        <v>4.3114239999999997</v>
      </c>
      <c r="AC11" s="12" t="s">
        <v>24</v>
      </c>
    </row>
    <row r="12" spans="1:29" s="1" customFormat="1" ht="22.5" x14ac:dyDescent="0.2">
      <c r="A12" s="18">
        <v>4</v>
      </c>
      <c r="B12" s="18" t="s">
        <v>97</v>
      </c>
      <c r="C12" s="69">
        <v>6.3</v>
      </c>
      <c r="D12" s="69">
        <v>1.44</v>
      </c>
      <c r="E12" s="69">
        <v>0.22</v>
      </c>
      <c r="F12" s="69"/>
      <c r="G12" s="47">
        <v>1.4570000000000001</v>
      </c>
      <c r="H12" s="12">
        <f>C12</f>
        <v>6.3</v>
      </c>
      <c r="I12" s="12" t="s">
        <v>12</v>
      </c>
      <c r="J12" s="48">
        <f t="shared" si="0"/>
        <v>6.3</v>
      </c>
      <c r="K12" s="12">
        <v>0</v>
      </c>
      <c r="L12" s="48">
        <f t="shared" si="1"/>
        <v>6.3</v>
      </c>
      <c r="M12" s="106">
        <f t="shared" si="2"/>
        <v>4.843</v>
      </c>
      <c r="N12" s="106">
        <f t="shared" si="8"/>
        <v>4.843</v>
      </c>
      <c r="O12" s="17" t="s">
        <v>24</v>
      </c>
      <c r="P12" s="16"/>
      <c r="Q12" s="18">
        <v>4</v>
      </c>
      <c r="R12" s="12" t="s">
        <v>97</v>
      </c>
      <c r="S12" s="15">
        <v>6.3</v>
      </c>
      <c r="T12" s="86">
        <f>0.016+0.005+0.0613-0.0161+1.1827+1.1827+0.5914-0.1661+0.086+0.1613-1.2741</f>
        <v>1.8301000000000005</v>
      </c>
      <c r="U12" s="79">
        <f t="shared" si="3"/>
        <v>3.2871000000000006</v>
      </c>
      <c r="V12" s="18">
        <f t="shared" si="4"/>
        <v>6.3</v>
      </c>
      <c r="W12" s="18" t="str">
        <f t="shared" si="4"/>
        <v>1 сутки</v>
      </c>
      <c r="X12" s="64">
        <f t="shared" si="5"/>
        <v>6.3</v>
      </c>
      <c r="Y12" s="18">
        <v>0</v>
      </c>
      <c r="Z12" s="66">
        <f t="shared" si="6"/>
        <v>6.3</v>
      </c>
      <c r="AA12" s="90">
        <f t="shared" si="7"/>
        <v>3.0128999999999992</v>
      </c>
      <c r="AB12" s="90">
        <f t="shared" si="9"/>
        <v>3.0128999999999992</v>
      </c>
      <c r="AC12" s="12" t="s">
        <v>24</v>
      </c>
    </row>
    <row r="13" spans="1:29" s="1" customFormat="1" ht="21.75" customHeight="1" x14ac:dyDescent="0.2">
      <c r="A13" s="18">
        <v>5</v>
      </c>
      <c r="B13" s="22" t="s">
        <v>99</v>
      </c>
      <c r="C13" s="23">
        <v>10</v>
      </c>
      <c r="D13" s="23">
        <v>6.27</v>
      </c>
      <c r="E13" s="23">
        <v>2.02</v>
      </c>
      <c r="F13" s="23"/>
      <c r="G13" s="51">
        <v>6.5869999999999997</v>
      </c>
      <c r="H13" s="22">
        <v>4.3</v>
      </c>
      <c r="I13" s="22" t="s">
        <v>12</v>
      </c>
      <c r="J13" s="49">
        <f t="shared" si="0"/>
        <v>4.3</v>
      </c>
      <c r="K13" s="22">
        <v>0</v>
      </c>
      <c r="L13" s="49">
        <f t="shared" si="1"/>
        <v>4.3</v>
      </c>
      <c r="M13" s="107">
        <f t="shared" si="2"/>
        <v>-2.2869999999999999</v>
      </c>
      <c r="N13" s="107">
        <f t="shared" si="8"/>
        <v>-2.2869999999999999</v>
      </c>
      <c r="O13" s="19" t="s">
        <v>25</v>
      </c>
      <c r="P13" s="16"/>
      <c r="Q13" s="22">
        <v>5</v>
      </c>
      <c r="R13" s="22" t="s">
        <v>99</v>
      </c>
      <c r="S13" s="23">
        <v>10</v>
      </c>
      <c r="T13" s="88">
        <f>0.129+0.8064+0.8-0.3226</f>
        <v>1.4128000000000001</v>
      </c>
      <c r="U13" s="51">
        <f t="shared" si="3"/>
        <v>7.9997999999999996</v>
      </c>
      <c r="V13" s="22">
        <v>4.3</v>
      </c>
      <c r="W13" s="22" t="str">
        <f t="shared" ref="W13:W48" si="10">I13</f>
        <v>1 сутки</v>
      </c>
      <c r="X13" s="29">
        <f t="shared" si="5"/>
        <v>4.3</v>
      </c>
      <c r="Y13" s="22">
        <v>0</v>
      </c>
      <c r="Z13" s="30">
        <f t="shared" si="6"/>
        <v>4.3</v>
      </c>
      <c r="AA13" s="107">
        <f t="shared" si="7"/>
        <v>-3.6997999999999998</v>
      </c>
      <c r="AB13" s="107">
        <f t="shared" si="9"/>
        <v>-3.6997999999999998</v>
      </c>
      <c r="AC13" s="22" t="s">
        <v>25</v>
      </c>
    </row>
    <row r="14" spans="1:29" s="1" customFormat="1" ht="33.75" x14ac:dyDescent="0.2">
      <c r="A14" s="18">
        <v>6</v>
      </c>
      <c r="B14" s="12" t="s">
        <v>159</v>
      </c>
      <c r="C14" s="69">
        <v>10</v>
      </c>
      <c r="D14" s="69">
        <v>0.66100000000000003</v>
      </c>
      <c r="E14" s="69">
        <v>0.184</v>
      </c>
      <c r="F14" s="69"/>
      <c r="G14" s="47">
        <v>0.68700000000000006</v>
      </c>
      <c r="H14" s="12">
        <f t="shared" ref="H14:H26" si="11">C14</f>
        <v>10</v>
      </c>
      <c r="I14" s="12" t="s">
        <v>12</v>
      </c>
      <c r="J14" s="48">
        <f t="shared" si="0"/>
        <v>10</v>
      </c>
      <c r="K14" s="12">
        <v>0</v>
      </c>
      <c r="L14" s="48">
        <f t="shared" si="1"/>
        <v>10</v>
      </c>
      <c r="M14" s="106">
        <f t="shared" si="2"/>
        <v>9.3130000000000006</v>
      </c>
      <c r="N14" s="106">
        <f t="shared" si="8"/>
        <v>9.3130000000000006</v>
      </c>
      <c r="O14" s="17" t="s">
        <v>24</v>
      </c>
      <c r="P14" s="16"/>
      <c r="Q14" s="18">
        <v>6</v>
      </c>
      <c r="R14" s="12" t="s">
        <v>159</v>
      </c>
      <c r="S14" s="15">
        <v>10</v>
      </c>
      <c r="T14" s="86">
        <f>0.018+0.002+0.025+0.0108-0.0282+0.0161+0.6451+0.012633-0.0409+0.0226+0.0003+0.0043+0.0167+0.0013-0.028</f>
        <v>0.67773299999999981</v>
      </c>
      <c r="U14" s="79">
        <f t="shared" ref="U14:U25" si="12">T14+G14</f>
        <v>1.3647329999999998</v>
      </c>
      <c r="V14" s="18">
        <f t="shared" ref="V14:V48" si="13">H14</f>
        <v>10</v>
      </c>
      <c r="W14" s="18" t="str">
        <f t="shared" si="10"/>
        <v>1 сутки</v>
      </c>
      <c r="X14" s="64">
        <f t="shared" si="5"/>
        <v>10</v>
      </c>
      <c r="Y14" s="18">
        <v>0</v>
      </c>
      <c r="Z14" s="66">
        <f t="shared" si="6"/>
        <v>10</v>
      </c>
      <c r="AA14" s="90">
        <f t="shared" si="7"/>
        <v>8.6352670000000007</v>
      </c>
      <c r="AB14" s="90">
        <f t="shared" si="9"/>
        <v>8.6352670000000007</v>
      </c>
      <c r="AC14" s="12" t="s">
        <v>24</v>
      </c>
    </row>
    <row r="15" spans="1:29" s="1" customFormat="1" ht="22.5" x14ac:dyDescent="0.2">
      <c r="A15" s="18">
        <v>7</v>
      </c>
      <c r="B15" s="12" t="s">
        <v>160</v>
      </c>
      <c r="C15" s="69">
        <v>2.5</v>
      </c>
      <c r="D15" s="69">
        <v>0.71299999999999997</v>
      </c>
      <c r="E15" s="69">
        <v>0.23699999999999999</v>
      </c>
      <c r="F15" s="69"/>
      <c r="G15" s="47">
        <v>0.751</v>
      </c>
      <c r="H15" s="12">
        <f t="shared" si="11"/>
        <v>2.5</v>
      </c>
      <c r="I15" s="12" t="s">
        <v>12</v>
      </c>
      <c r="J15" s="48">
        <f t="shared" si="0"/>
        <v>2.5</v>
      </c>
      <c r="K15" s="12">
        <v>0</v>
      </c>
      <c r="L15" s="48">
        <f t="shared" si="1"/>
        <v>2.5</v>
      </c>
      <c r="M15" s="106">
        <f t="shared" si="2"/>
        <v>1.7490000000000001</v>
      </c>
      <c r="N15" s="106">
        <f t="shared" si="8"/>
        <v>1.7490000000000001</v>
      </c>
      <c r="O15" s="17" t="s">
        <v>24</v>
      </c>
      <c r="P15" s="16"/>
      <c r="Q15" s="18">
        <v>7</v>
      </c>
      <c r="R15" s="12" t="s">
        <v>160</v>
      </c>
      <c r="S15" s="15">
        <v>2.5</v>
      </c>
      <c r="T15" s="86">
        <f>0.016+0.011+0.112+0.015+0.1813+0.1806+0.0032+0.023-0.1906+0.0065+0.0108-0.0344</f>
        <v>0.33440000000000003</v>
      </c>
      <c r="U15" s="79">
        <f t="shared" si="12"/>
        <v>1.0853999999999999</v>
      </c>
      <c r="V15" s="18">
        <f t="shared" si="13"/>
        <v>2.5</v>
      </c>
      <c r="W15" s="18" t="str">
        <f t="shared" si="10"/>
        <v>1 сутки</v>
      </c>
      <c r="X15" s="64">
        <f t="shared" si="5"/>
        <v>2.5</v>
      </c>
      <c r="Y15" s="18">
        <v>0</v>
      </c>
      <c r="Z15" s="66">
        <f t="shared" si="6"/>
        <v>2.5</v>
      </c>
      <c r="AA15" s="90">
        <f t="shared" si="7"/>
        <v>1.4146000000000001</v>
      </c>
      <c r="AB15" s="90">
        <f t="shared" si="9"/>
        <v>1.4146000000000001</v>
      </c>
      <c r="AC15" s="12" t="s">
        <v>24</v>
      </c>
    </row>
    <row r="16" spans="1:29" s="1" customFormat="1" ht="22.5" x14ac:dyDescent="0.2">
      <c r="A16" s="18">
        <v>8</v>
      </c>
      <c r="B16" s="18" t="s">
        <v>161</v>
      </c>
      <c r="C16" s="69">
        <v>6.3</v>
      </c>
      <c r="D16" s="69">
        <v>1.052</v>
      </c>
      <c r="E16" s="69">
        <v>0.48799999999999999</v>
      </c>
      <c r="F16" s="69"/>
      <c r="G16" s="47">
        <v>1.1599999999999999</v>
      </c>
      <c r="H16" s="12">
        <f t="shared" si="11"/>
        <v>6.3</v>
      </c>
      <c r="I16" s="12" t="s">
        <v>12</v>
      </c>
      <c r="J16" s="48">
        <f t="shared" si="0"/>
        <v>6.3</v>
      </c>
      <c r="K16" s="12">
        <v>0</v>
      </c>
      <c r="L16" s="48">
        <f t="shared" si="1"/>
        <v>6.3</v>
      </c>
      <c r="M16" s="106">
        <f t="shared" si="2"/>
        <v>5.14</v>
      </c>
      <c r="N16" s="106">
        <f t="shared" si="8"/>
        <v>5.14</v>
      </c>
      <c r="O16" s="17" t="s">
        <v>24</v>
      </c>
      <c r="P16" s="16"/>
      <c r="Q16" s="18">
        <v>8</v>
      </c>
      <c r="R16" s="12" t="s">
        <v>161</v>
      </c>
      <c r="S16" s="15">
        <v>6.3</v>
      </c>
      <c r="T16" s="86">
        <f>0</f>
        <v>0</v>
      </c>
      <c r="U16" s="79">
        <f t="shared" si="12"/>
        <v>1.1599999999999999</v>
      </c>
      <c r="V16" s="18">
        <f t="shared" si="13"/>
        <v>6.3</v>
      </c>
      <c r="W16" s="18" t="str">
        <f t="shared" si="10"/>
        <v>1 сутки</v>
      </c>
      <c r="X16" s="64">
        <f t="shared" si="5"/>
        <v>6.3</v>
      </c>
      <c r="Y16" s="18">
        <v>0</v>
      </c>
      <c r="Z16" s="66">
        <f t="shared" si="6"/>
        <v>6.3</v>
      </c>
      <c r="AA16" s="90">
        <f t="shared" si="7"/>
        <v>5.14</v>
      </c>
      <c r="AB16" s="90">
        <f t="shared" si="9"/>
        <v>5.14</v>
      </c>
      <c r="AC16" s="12" t="s">
        <v>24</v>
      </c>
    </row>
    <row r="17" spans="1:29" s="1" customFormat="1" ht="22.5" x14ac:dyDescent="0.2">
      <c r="A17" s="169">
        <v>9</v>
      </c>
      <c r="B17" s="18" t="s">
        <v>165</v>
      </c>
      <c r="C17" s="69">
        <v>6.3</v>
      </c>
      <c r="D17" s="69">
        <v>1.6990000000000001</v>
      </c>
      <c r="E17" s="69">
        <v>0.65300000000000002</v>
      </c>
      <c r="F17" s="69"/>
      <c r="G17" s="47">
        <v>1.82</v>
      </c>
      <c r="H17" s="12">
        <f t="shared" si="11"/>
        <v>6.3</v>
      </c>
      <c r="I17" s="12" t="s">
        <v>12</v>
      </c>
      <c r="J17" s="48">
        <f t="shared" si="0"/>
        <v>6.3</v>
      </c>
      <c r="K17" s="12">
        <v>0</v>
      </c>
      <c r="L17" s="48">
        <f t="shared" si="1"/>
        <v>6.3</v>
      </c>
      <c r="M17" s="106">
        <f t="shared" si="2"/>
        <v>4.4799999999999995</v>
      </c>
      <c r="N17" s="157">
        <f>MIN(M17:M19)</f>
        <v>4.4799999999999995</v>
      </c>
      <c r="O17" s="158" t="s">
        <v>24</v>
      </c>
      <c r="P17" s="16"/>
      <c r="Q17" s="169">
        <v>9</v>
      </c>
      <c r="R17" s="12" t="s">
        <v>165</v>
      </c>
      <c r="S17" s="15">
        <v>6.3</v>
      </c>
      <c r="T17" s="86">
        <f>T19</f>
        <v>4.3736999999999998E-2</v>
      </c>
      <c r="U17" s="79">
        <f t="shared" si="12"/>
        <v>1.863737</v>
      </c>
      <c r="V17" s="18">
        <f t="shared" si="13"/>
        <v>6.3</v>
      </c>
      <c r="W17" s="18" t="str">
        <f t="shared" si="10"/>
        <v>1 сутки</v>
      </c>
      <c r="X17" s="64">
        <f t="shared" si="5"/>
        <v>6.3</v>
      </c>
      <c r="Y17" s="18">
        <v>0</v>
      </c>
      <c r="Z17" s="66">
        <f t="shared" si="6"/>
        <v>6.3</v>
      </c>
      <c r="AA17" s="90">
        <f t="shared" si="7"/>
        <v>4.4362630000000003</v>
      </c>
      <c r="AB17" s="129">
        <f>MIN(AA17:AA19)</f>
        <v>4.4362630000000003</v>
      </c>
      <c r="AC17" s="158" t="s">
        <v>24</v>
      </c>
    </row>
    <row r="18" spans="1:29" s="1" customFormat="1" ht="21" hidden="1" customHeight="1" x14ac:dyDescent="0.2">
      <c r="A18" s="170"/>
      <c r="B18" s="80" t="s">
        <v>56</v>
      </c>
      <c r="C18" s="63">
        <v>6.3</v>
      </c>
      <c r="D18" s="63">
        <v>0.71099999999999997</v>
      </c>
      <c r="E18" s="63">
        <v>0.28899999999999998</v>
      </c>
      <c r="F18" s="63"/>
      <c r="G18" s="48">
        <v>0.76700000000000002</v>
      </c>
      <c r="H18" s="12">
        <f t="shared" si="11"/>
        <v>6.3</v>
      </c>
      <c r="I18" s="12" t="s">
        <v>12</v>
      </c>
      <c r="J18" s="48">
        <f t="shared" si="0"/>
        <v>6.3</v>
      </c>
      <c r="K18" s="12">
        <v>0</v>
      </c>
      <c r="L18" s="48">
        <f t="shared" si="1"/>
        <v>6.3</v>
      </c>
      <c r="M18" s="106">
        <f t="shared" si="2"/>
        <v>5.5329999999999995</v>
      </c>
      <c r="N18" s="179"/>
      <c r="O18" s="167"/>
      <c r="P18" s="16"/>
      <c r="Q18" s="170"/>
      <c r="R18" s="27" t="s">
        <v>56</v>
      </c>
      <c r="S18" s="28">
        <v>6.3</v>
      </c>
      <c r="T18" s="85"/>
      <c r="U18" s="79">
        <f t="shared" si="12"/>
        <v>0.76700000000000002</v>
      </c>
      <c r="V18" s="18">
        <f t="shared" si="13"/>
        <v>6.3</v>
      </c>
      <c r="W18" s="18" t="str">
        <f t="shared" si="10"/>
        <v>1 сутки</v>
      </c>
      <c r="X18" s="64">
        <f t="shared" si="5"/>
        <v>6.3</v>
      </c>
      <c r="Y18" s="18">
        <v>0</v>
      </c>
      <c r="Z18" s="66">
        <f t="shared" si="6"/>
        <v>6.3</v>
      </c>
      <c r="AA18" s="90">
        <f t="shared" si="7"/>
        <v>5.5329999999999995</v>
      </c>
      <c r="AB18" s="132"/>
      <c r="AC18" s="167"/>
    </row>
    <row r="19" spans="1:29" s="1" customFormat="1" ht="21" hidden="1" customHeight="1" x14ac:dyDescent="0.2">
      <c r="A19" s="171"/>
      <c r="B19" s="80" t="s">
        <v>44</v>
      </c>
      <c r="C19" s="63">
        <v>6.3</v>
      </c>
      <c r="D19" s="63">
        <v>0.98799999999999999</v>
      </c>
      <c r="E19" s="63">
        <v>0.36399999999999999</v>
      </c>
      <c r="F19" s="63"/>
      <c r="G19" s="48">
        <v>1.0529999999999999</v>
      </c>
      <c r="H19" s="12">
        <f t="shared" si="11"/>
        <v>6.3</v>
      </c>
      <c r="I19" s="12" t="s">
        <v>12</v>
      </c>
      <c r="J19" s="48">
        <f t="shared" si="0"/>
        <v>6.3</v>
      </c>
      <c r="K19" s="12">
        <v>0</v>
      </c>
      <c r="L19" s="48">
        <f t="shared" si="1"/>
        <v>6.3</v>
      </c>
      <c r="M19" s="106">
        <f t="shared" si="2"/>
        <v>5.2469999999999999</v>
      </c>
      <c r="N19" s="180"/>
      <c r="O19" s="168"/>
      <c r="P19" s="16"/>
      <c r="Q19" s="171"/>
      <c r="R19" s="27" t="s">
        <v>44</v>
      </c>
      <c r="S19" s="28">
        <v>6.3</v>
      </c>
      <c r="T19" s="85">
        <f>0.021+0.009+0.016+0.0269-0.0177+0.001+0.016+0.0054+0.215037+0.0019-0.0269+0.0161+0.0068-0.2468</f>
        <v>4.3736999999999998E-2</v>
      </c>
      <c r="U19" s="79">
        <f t="shared" si="12"/>
        <v>1.0967369999999999</v>
      </c>
      <c r="V19" s="18">
        <f t="shared" si="13"/>
        <v>6.3</v>
      </c>
      <c r="W19" s="18" t="str">
        <f t="shared" si="10"/>
        <v>1 сутки</v>
      </c>
      <c r="X19" s="64">
        <f t="shared" si="5"/>
        <v>6.3</v>
      </c>
      <c r="Y19" s="18">
        <v>0</v>
      </c>
      <c r="Z19" s="66">
        <f t="shared" si="6"/>
        <v>6.3</v>
      </c>
      <c r="AA19" s="90">
        <f t="shared" si="7"/>
        <v>5.2032629999999997</v>
      </c>
      <c r="AB19" s="133"/>
      <c r="AC19" s="168"/>
    </row>
    <row r="20" spans="1:29" s="1" customFormat="1" ht="23.25" customHeight="1" x14ac:dyDescent="0.2">
      <c r="A20" s="169">
        <v>10</v>
      </c>
      <c r="B20" s="12" t="s">
        <v>168</v>
      </c>
      <c r="C20" s="69">
        <v>16</v>
      </c>
      <c r="D20" s="69">
        <f>D21+D22</f>
        <v>5.2200000000000006</v>
      </c>
      <c r="E20" s="69">
        <f>E21+E22</f>
        <v>2.3050000000000002</v>
      </c>
      <c r="F20" s="69"/>
      <c r="G20" s="47">
        <f>G21+G22</f>
        <v>5.7560000000000002</v>
      </c>
      <c r="H20" s="12">
        <f t="shared" si="11"/>
        <v>16</v>
      </c>
      <c r="I20" s="12" t="s">
        <v>12</v>
      </c>
      <c r="J20" s="48">
        <f t="shared" si="0"/>
        <v>16</v>
      </c>
      <c r="K20" s="12">
        <v>0</v>
      </c>
      <c r="L20" s="48">
        <f t="shared" si="1"/>
        <v>16</v>
      </c>
      <c r="M20" s="106">
        <f t="shared" si="2"/>
        <v>10.244</v>
      </c>
      <c r="N20" s="157">
        <f>MIN(M20:M22)</f>
        <v>10.244</v>
      </c>
      <c r="O20" s="158" t="s">
        <v>24</v>
      </c>
      <c r="P20" s="16"/>
      <c r="Q20" s="169">
        <v>10</v>
      </c>
      <c r="R20" s="12" t="s">
        <v>168</v>
      </c>
      <c r="S20" s="15">
        <v>16</v>
      </c>
      <c r="T20" s="86">
        <f>-T21+T22</f>
        <v>6.0999999999999999E-2</v>
      </c>
      <c r="U20" s="79">
        <f t="shared" si="12"/>
        <v>5.8170000000000002</v>
      </c>
      <c r="V20" s="18">
        <f t="shared" si="13"/>
        <v>16</v>
      </c>
      <c r="W20" s="18" t="str">
        <f t="shared" si="10"/>
        <v>1 сутки</v>
      </c>
      <c r="X20" s="64">
        <f t="shared" si="5"/>
        <v>16</v>
      </c>
      <c r="Y20" s="18">
        <v>0</v>
      </c>
      <c r="Z20" s="66">
        <f t="shared" si="6"/>
        <v>16</v>
      </c>
      <c r="AA20" s="90">
        <f t="shared" si="7"/>
        <v>10.183</v>
      </c>
      <c r="AB20" s="129">
        <f>MIN(AA20:AA22)</f>
        <v>10.183</v>
      </c>
      <c r="AC20" s="158" t="s">
        <v>24</v>
      </c>
    </row>
    <row r="21" spans="1:29" s="1" customFormat="1" ht="22.5" hidden="1" customHeight="1" x14ac:dyDescent="0.2">
      <c r="A21" s="170"/>
      <c r="B21" s="80" t="s">
        <v>56</v>
      </c>
      <c r="C21" s="63">
        <v>16</v>
      </c>
      <c r="D21" s="63">
        <v>4.0590000000000002</v>
      </c>
      <c r="E21" s="63">
        <v>1.843</v>
      </c>
      <c r="F21" s="63"/>
      <c r="G21" s="63">
        <v>4.5060000000000002</v>
      </c>
      <c r="H21" s="12">
        <f t="shared" si="11"/>
        <v>16</v>
      </c>
      <c r="I21" s="12" t="s">
        <v>12</v>
      </c>
      <c r="J21" s="48">
        <f t="shared" si="0"/>
        <v>16</v>
      </c>
      <c r="K21" s="12">
        <v>0</v>
      </c>
      <c r="L21" s="48">
        <f t="shared" si="1"/>
        <v>16</v>
      </c>
      <c r="M21" s="106">
        <f t="shared" si="2"/>
        <v>11.494</v>
      </c>
      <c r="N21" s="179"/>
      <c r="O21" s="167"/>
      <c r="P21" s="16"/>
      <c r="Q21" s="170"/>
      <c r="R21" s="27" t="s">
        <v>56</v>
      </c>
      <c r="S21" s="28">
        <v>16</v>
      </c>
      <c r="T21" s="85"/>
      <c r="U21" s="79">
        <f t="shared" si="12"/>
        <v>4.5060000000000002</v>
      </c>
      <c r="V21" s="18">
        <f t="shared" si="13"/>
        <v>16</v>
      </c>
      <c r="W21" s="18" t="str">
        <f t="shared" si="10"/>
        <v>1 сутки</v>
      </c>
      <c r="X21" s="64">
        <f t="shared" si="5"/>
        <v>16</v>
      </c>
      <c r="Y21" s="18">
        <v>0</v>
      </c>
      <c r="Z21" s="66">
        <f t="shared" si="6"/>
        <v>16</v>
      </c>
      <c r="AA21" s="90">
        <f t="shared" si="7"/>
        <v>11.494</v>
      </c>
      <c r="AB21" s="132"/>
      <c r="AC21" s="167"/>
    </row>
    <row r="22" spans="1:29" s="1" customFormat="1" ht="21.75" hidden="1" customHeight="1" x14ac:dyDescent="0.2">
      <c r="A22" s="171"/>
      <c r="B22" s="80" t="s">
        <v>44</v>
      </c>
      <c r="C22" s="63">
        <v>16</v>
      </c>
      <c r="D22" s="63">
        <v>1.161</v>
      </c>
      <c r="E22" s="63">
        <v>0.46200000000000002</v>
      </c>
      <c r="F22" s="63"/>
      <c r="G22" s="48">
        <v>1.25</v>
      </c>
      <c r="H22" s="12">
        <f t="shared" si="11"/>
        <v>16</v>
      </c>
      <c r="I22" s="12" t="s">
        <v>12</v>
      </c>
      <c r="J22" s="48">
        <f t="shared" si="0"/>
        <v>16</v>
      </c>
      <c r="K22" s="12">
        <v>0</v>
      </c>
      <c r="L22" s="48">
        <f t="shared" si="1"/>
        <v>16</v>
      </c>
      <c r="M22" s="106">
        <f t="shared" si="2"/>
        <v>14.75</v>
      </c>
      <c r="N22" s="180"/>
      <c r="O22" s="168"/>
      <c r="P22" s="16"/>
      <c r="Q22" s="171"/>
      <c r="R22" s="27" t="s">
        <v>44</v>
      </c>
      <c r="S22" s="28">
        <v>16</v>
      </c>
      <c r="T22" s="85">
        <f>0.043+0.017+0.012+0.005-0.0102+0.005-0.0108</f>
        <v>6.0999999999999999E-2</v>
      </c>
      <c r="U22" s="79">
        <f t="shared" si="12"/>
        <v>1.3109999999999999</v>
      </c>
      <c r="V22" s="18">
        <f t="shared" si="13"/>
        <v>16</v>
      </c>
      <c r="W22" s="18" t="str">
        <f t="shared" si="10"/>
        <v>1 сутки</v>
      </c>
      <c r="X22" s="64">
        <f t="shared" si="5"/>
        <v>16</v>
      </c>
      <c r="Y22" s="18">
        <v>0</v>
      </c>
      <c r="Z22" s="66">
        <f t="shared" si="6"/>
        <v>16</v>
      </c>
      <c r="AA22" s="90">
        <f t="shared" si="7"/>
        <v>14.689</v>
      </c>
      <c r="AB22" s="133"/>
      <c r="AC22" s="168"/>
    </row>
    <row r="23" spans="1:29" s="1" customFormat="1" ht="22.5" x14ac:dyDescent="0.2">
      <c r="A23" s="169">
        <v>11</v>
      </c>
      <c r="B23" s="12" t="s">
        <v>153</v>
      </c>
      <c r="C23" s="69">
        <v>6.3</v>
      </c>
      <c r="D23" s="69">
        <f>D24+D25</f>
        <v>1.69</v>
      </c>
      <c r="E23" s="69">
        <f>E24+E25</f>
        <v>0.70500000000000007</v>
      </c>
      <c r="F23" s="69"/>
      <c r="G23" s="69">
        <f>G24+G25</f>
        <v>1.8729999999999998</v>
      </c>
      <c r="H23" s="12">
        <f t="shared" si="11"/>
        <v>6.3</v>
      </c>
      <c r="I23" s="12" t="s">
        <v>12</v>
      </c>
      <c r="J23" s="48">
        <f t="shared" si="0"/>
        <v>6.3</v>
      </c>
      <c r="K23" s="12">
        <v>0</v>
      </c>
      <c r="L23" s="48">
        <f t="shared" si="1"/>
        <v>6.3</v>
      </c>
      <c r="M23" s="106">
        <f t="shared" si="2"/>
        <v>4.4269999999999996</v>
      </c>
      <c r="N23" s="157">
        <f>MIN(M23:M25)</f>
        <v>4.4269999999999996</v>
      </c>
      <c r="O23" s="158" t="s">
        <v>24</v>
      </c>
      <c r="P23" s="16"/>
      <c r="Q23" s="169">
        <v>11</v>
      </c>
      <c r="R23" s="12" t="s">
        <v>153</v>
      </c>
      <c r="S23" s="15">
        <v>6.3</v>
      </c>
      <c r="T23" s="86">
        <f>T25</f>
        <v>1.0767999999999998</v>
      </c>
      <c r="U23" s="79">
        <f t="shared" si="12"/>
        <v>2.9497999999999998</v>
      </c>
      <c r="V23" s="18">
        <f t="shared" si="13"/>
        <v>6.3</v>
      </c>
      <c r="W23" s="18" t="str">
        <f t="shared" si="10"/>
        <v>1 сутки</v>
      </c>
      <c r="X23" s="64">
        <f t="shared" si="5"/>
        <v>6.3</v>
      </c>
      <c r="Y23" s="18">
        <v>0</v>
      </c>
      <c r="Z23" s="66">
        <f t="shared" si="6"/>
        <v>6.3</v>
      </c>
      <c r="AA23" s="90">
        <f t="shared" si="7"/>
        <v>3.3502000000000001</v>
      </c>
      <c r="AB23" s="129">
        <f>MIN(AA23:AA25)</f>
        <v>3.3502000000000001</v>
      </c>
      <c r="AC23" s="158" t="s">
        <v>24</v>
      </c>
    </row>
    <row r="24" spans="1:29" s="1" customFormat="1" ht="21" hidden="1" customHeight="1" x14ac:dyDescent="0.2">
      <c r="A24" s="170"/>
      <c r="B24" s="80" t="s">
        <v>56</v>
      </c>
      <c r="C24" s="63">
        <v>6.3</v>
      </c>
      <c r="D24" s="63">
        <f>D45+D48</f>
        <v>0.67800000000000005</v>
      </c>
      <c r="E24" s="63">
        <f>E45+E48</f>
        <v>0.46</v>
      </c>
      <c r="F24" s="63"/>
      <c r="G24" s="63">
        <f>G45+G48</f>
        <v>0.83199999999999996</v>
      </c>
      <c r="H24" s="12">
        <f t="shared" si="11"/>
        <v>6.3</v>
      </c>
      <c r="I24" s="12" t="s">
        <v>12</v>
      </c>
      <c r="J24" s="48">
        <f t="shared" si="0"/>
        <v>6.3</v>
      </c>
      <c r="K24" s="12">
        <v>0</v>
      </c>
      <c r="L24" s="48">
        <f t="shared" si="1"/>
        <v>6.3</v>
      </c>
      <c r="M24" s="106">
        <f t="shared" si="2"/>
        <v>5.468</v>
      </c>
      <c r="N24" s="179"/>
      <c r="O24" s="167"/>
      <c r="P24" s="16"/>
      <c r="Q24" s="170"/>
      <c r="R24" s="27" t="s">
        <v>56</v>
      </c>
      <c r="S24" s="28">
        <v>6.3</v>
      </c>
      <c r="T24" s="85"/>
      <c r="U24" s="79">
        <f t="shared" si="12"/>
        <v>0.83199999999999996</v>
      </c>
      <c r="V24" s="18">
        <f t="shared" si="13"/>
        <v>6.3</v>
      </c>
      <c r="W24" s="18" t="str">
        <f t="shared" si="10"/>
        <v>1 сутки</v>
      </c>
      <c r="X24" s="64">
        <f t="shared" si="5"/>
        <v>6.3</v>
      </c>
      <c r="Y24" s="18">
        <v>0</v>
      </c>
      <c r="Z24" s="66">
        <f t="shared" si="6"/>
        <v>6.3</v>
      </c>
      <c r="AA24" s="90">
        <f t="shared" si="7"/>
        <v>5.468</v>
      </c>
      <c r="AB24" s="132"/>
      <c r="AC24" s="167"/>
    </row>
    <row r="25" spans="1:29" s="1" customFormat="1" ht="20.25" hidden="1" customHeight="1" x14ac:dyDescent="0.2">
      <c r="A25" s="171"/>
      <c r="B25" s="80" t="s">
        <v>44</v>
      </c>
      <c r="C25" s="63">
        <v>6.3</v>
      </c>
      <c r="D25" s="63">
        <v>1.012</v>
      </c>
      <c r="E25" s="63">
        <v>0.245</v>
      </c>
      <c r="F25" s="63"/>
      <c r="G25" s="48">
        <v>1.0409999999999999</v>
      </c>
      <c r="H25" s="12">
        <f t="shared" si="11"/>
        <v>6.3</v>
      </c>
      <c r="I25" s="12" t="s">
        <v>12</v>
      </c>
      <c r="J25" s="48">
        <f t="shared" si="0"/>
        <v>6.3</v>
      </c>
      <c r="K25" s="12">
        <v>0</v>
      </c>
      <c r="L25" s="48">
        <f t="shared" si="1"/>
        <v>6.3</v>
      </c>
      <c r="M25" s="106">
        <f t="shared" si="2"/>
        <v>5.2590000000000003</v>
      </c>
      <c r="N25" s="180"/>
      <c r="O25" s="168"/>
      <c r="P25" s="16"/>
      <c r="Q25" s="171"/>
      <c r="R25" s="27" t="s">
        <v>44</v>
      </c>
      <c r="S25" s="28">
        <v>6.3</v>
      </c>
      <c r="T25" s="85">
        <f>0.082+0.016+0.005+0.005+0.181+0.0161+0.1806+0.0161+0.4564+0.0161+0.0151+0.5639-0.7034+0.5639+0.4516+0.3011-1.0897</f>
        <v>1.0767999999999998</v>
      </c>
      <c r="U25" s="79">
        <f t="shared" si="12"/>
        <v>2.1177999999999999</v>
      </c>
      <c r="V25" s="18">
        <f t="shared" si="13"/>
        <v>6.3</v>
      </c>
      <c r="W25" s="18" t="str">
        <f t="shared" si="10"/>
        <v>1 сутки</v>
      </c>
      <c r="X25" s="64">
        <f t="shared" si="5"/>
        <v>6.3</v>
      </c>
      <c r="Y25" s="18">
        <v>0</v>
      </c>
      <c r="Z25" s="66">
        <f t="shared" si="6"/>
        <v>6.3</v>
      </c>
      <c r="AA25" s="90">
        <f t="shared" si="7"/>
        <v>4.1821999999999999</v>
      </c>
      <c r="AB25" s="133"/>
      <c r="AC25" s="168"/>
    </row>
    <row r="26" spans="1:29" s="74" customFormat="1" ht="22.5" x14ac:dyDescent="0.2">
      <c r="A26" s="18">
        <v>12</v>
      </c>
      <c r="B26" s="18" t="s">
        <v>101</v>
      </c>
      <c r="C26" s="69">
        <v>2.5</v>
      </c>
      <c r="D26" s="69">
        <v>0.27300000000000002</v>
      </c>
      <c r="E26" s="69">
        <v>0.14399999999999999</v>
      </c>
      <c r="F26" s="69"/>
      <c r="G26" s="79">
        <v>0.309</v>
      </c>
      <c r="H26" s="18">
        <f t="shared" si="11"/>
        <v>2.5</v>
      </c>
      <c r="I26" s="18" t="s">
        <v>12</v>
      </c>
      <c r="J26" s="82">
        <f t="shared" si="0"/>
        <v>2.5</v>
      </c>
      <c r="K26" s="18">
        <v>0</v>
      </c>
      <c r="L26" s="82">
        <f t="shared" si="1"/>
        <v>2.5</v>
      </c>
      <c r="M26" s="90">
        <f t="shared" si="2"/>
        <v>2.1909999999999998</v>
      </c>
      <c r="N26" s="90">
        <f>M26</f>
        <v>2.1909999999999998</v>
      </c>
      <c r="O26" s="97" t="s">
        <v>24</v>
      </c>
      <c r="P26" s="104"/>
      <c r="Q26" s="18">
        <v>12</v>
      </c>
      <c r="R26" s="18" t="s">
        <v>101</v>
      </c>
      <c r="S26" s="69">
        <v>2.5</v>
      </c>
      <c r="T26" s="108">
        <f>0.019+0.016+0.024+0.0129-0.007+0.0108-0.0183+0.0008-0.0226</f>
        <v>3.5600000000000007E-2</v>
      </c>
      <c r="U26" s="79">
        <f t="shared" ref="U26:U48" si="14">T26+G26</f>
        <v>0.34460000000000002</v>
      </c>
      <c r="V26" s="18">
        <f t="shared" si="13"/>
        <v>2.5</v>
      </c>
      <c r="W26" s="18" t="str">
        <f t="shared" si="10"/>
        <v>1 сутки</v>
      </c>
      <c r="X26" s="64">
        <f t="shared" si="5"/>
        <v>2.5</v>
      </c>
      <c r="Y26" s="18">
        <v>0</v>
      </c>
      <c r="Z26" s="66">
        <f t="shared" si="6"/>
        <v>2.5</v>
      </c>
      <c r="AA26" s="90">
        <f t="shared" si="7"/>
        <v>2.1554000000000002</v>
      </c>
      <c r="AB26" s="90">
        <f t="shared" ref="AB26:AB48" si="15">AA26</f>
        <v>2.1554000000000002</v>
      </c>
      <c r="AC26" s="18" t="s">
        <v>24</v>
      </c>
    </row>
    <row r="27" spans="1:29" s="1" customFormat="1" ht="22.5" x14ac:dyDescent="0.2">
      <c r="A27" s="65">
        <v>13</v>
      </c>
      <c r="B27" s="12" t="s">
        <v>102</v>
      </c>
      <c r="C27" s="69">
        <v>1.6</v>
      </c>
      <c r="D27" s="69">
        <v>0.434</v>
      </c>
      <c r="E27" s="69">
        <v>0.105</v>
      </c>
      <c r="F27" s="69"/>
      <c r="G27" s="47">
        <v>0.44700000000000001</v>
      </c>
      <c r="H27" s="12">
        <f t="shared" ref="H27:H48" si="16">C27</f>
        <v>1.6</v>
      </c>
      <c r="I27" s="12" t="s">
        <v>12</v>
      </c>
      <c r="J27" s="48">
        <f t="shared" si="0"/>
        <v>1.6</v>
      </c>
      <c r="K27" s="12">
        <v>0</v>
      </c>
      <c r="L27" s="48">
        <f t="shared" si="1"/>
        <v>1.6</v>
      </c>
      <c r="M27" s="106">
        <f t="shared" si="2"/>
        <v>1.153</v>
      </c>
      <c r="N27" s="106">
        <f>M27</f>
        <v>1.153</v>
      </c>
      <c r="O27" s="17" t="s">
        <v>24</v>
      </c>
      <c r="P27" s="16"/>
      <c r="Q27" s="18">
        <v>13</v>
      </c>
      <c r="R27" s="12" t="s">
        <v>102</v>
      </c>
      <c r="S27" s="15">
        <v>1.6</v>
      </c>
      <c r="T27" s="86">
        <v>0</v>
      </c>
      <c r="U27" s="79">
        <f t="shared" si="14"/>
        <v>0.44700000000000001</v>
      </c>
      <c r="V27" s="18">
        <f t="shared" si="13"/>
        <v>1.6</v>
      </c>
      <c r="W27" s="18" t="str">
        <f t="shared" si="10"/>
        <v>1 сутки</v>
      </c>
      <c r="X27" s="64">
        <f t="shared" si="5"/>
        <v>1.6</v>
      </c>
      <c r="Y27" s="18">
        <v>0</v>
      </c>
      <c r="Z27" s="66">
        <f t="shared" si="6"/>
        <v>1.6</v>
      </c>
      <c r="AA27" s="90">
        <f t="shared" si="7"/>
        <v>1.153</v>
      </c>
      <c r="AB27" s="90">
        <f t="shared" si="15"/>
        <v>1.153</v>
      </c>
      <c r="AC27" s="12" t="s">
        <v>24</v>
      </c>
    </row>
    <row r="28" spans="1:29" s="1" customFormat="1" ht="22.5" x14ac:dyDescent="0.2">
      <c r="A28" s="18">
        <v>14</v>
      </c>
      <c r="B28" s="12" t="s">
        <v>114</v>
      </c>
      <c r="C28" s="69">
        <v>2.5</v>
      </c>
      <c r="D28" s="69">
        <v>0.55800000000000005</v>
      </c>
      <c r="E28" s="69">
        <v>0.224</v>
      </c>
      <c r="F28" s="69"/>
      <c r="G28" s="47">
        <v>0.60099999999999998</v>
      </c>
      <c r="H28" s="12">
        <f t="shared" si="16"/>
        <v>2.5</v>
      </c>
      <c r="I28" s="12" t="s">
        <v>12</v>
      </c>
      <c r="J28" s="48">
        <f t="shared" si="0"/>
        <v>2.5</v>
      </c>
      <c r="K28" s="12">
        <v>0</v>
      </c>
      <c r="L28" s="48">
        <f t="shared" si="1"/>
        <v>2.5</v>
      </c>
      <c r="M28" s="106">
        <f t="shared" si="2"/>
        <v>1.899</v>
      </c>
      <c r="N28" s="106">
        <f>M28</f>
        <v>1.899</v>
      </c>
      <c r="O28" s="17" t="s">
        <v>24</v>
      </c>
      <c r="P28" s="16"/>
      <c r="Q28" s="18">
        <v>14</v>
      </c>
      <c r="R28" s="12" t="s">
        <v>114</v>
      </c>
      <c r="S28" s="15">
        <v>2.5</v>
      </c>
      <c r="T28" s="86">
        <f>0.091+0.016+0.009+0.288+0.487+0.005+0.0054-0.2091+0.0011+0.0054+0.0048+0.172-0.0183+0.0387+0.0097+0.0406+0.0068-0.0269+0.0068+0.0068</f>
        <v>0.93979999999999997</v>
      </c>
      <c r="U28" s="79">
        <f t="shared" si="14"/>
        <v>1.5407999999999999</v>
      </c>
      <c r="V28" s="18">
        <f t="shared" si="13"/>
        <v>2.5</v>
      </c>
      <c r="W28" s="18" t="str">
        <f t="shared" si="10"/>
        <v>1 сутки</v>
      </c>
      <c r="X28" s="64">
        <f t="shared" si="5"/>
        <v>2.5</v>
      </c>
      <c r="Y28" s="18">
        <v>0</v>
      </c>
      <c r="Z28" s="66">
        <f t="shared" si="6"/>
        <v>2.5</v>
      </c>
      <c r="AA28" s="90">
        <f t="shared" si="7"/>
        <v>0.95920000000000005</v>
      </c>
      <c r="AB28" s="90">
        <f t="shared" si="15"/>
        <v>0.95920000000000005</v>
      </c>
      <c r="AC28" s="12" t="s">
        <v>24</v>
      </c>
    </row>
    <row r="29" spans="1:29" s="1" customFormat="1" ht="22.5" x14ac:dyDescent="0.2">
      <c r="A29" s="18" t="s">
        <v>516</v>
      </c>
      <c r="B29" s="12" t="s">
        <v>115</v>
      </c>
      <c r="C29" s="69">
        <v>2.5</v>
      </c>
      <c r="D29" s="69">
        <v>0.498</v>
      </c>
      <c r="E29" s="69">
        <v>0.27100000000000002</v>
      </c>
      <c r="F29" s="69"/>
      <c r="G29" s="47">
        <v>0.56699999999999995</v>
      </c>
      <c r="H29" s="12">
        <f t="shared" si="16"/>
        <v>2.5</v>
      </c>
      <c r="I29" s="12" t="s">
        <v>12</v>
      </c>
      <c r="J29" s="48">
        <f t="shared" si="0"/>
        <v>2.5</v>
      </c>
      <c r="K29" s="12">
        <v>0</v>
      </c>
      <c r="L29" s="48">
        <f t="shared" si="1"/>
        <v>2.5</v>
      </c>
      <c r="M29" s="106">
        <f t="shared" si="2"/>
        <v>1.9330000000000001</v>
      </c>
      <c r="N29" s="106">
        <f t="shared" ref="N29:N48" si="17">M29</f>
        <v>1.9330000000000001</v>
      </c>
      <c r="O29" s="17" t="s">
        <v>24</v>
      </c>
      <c r="P29" s="16"/>
      <c r="Q29" s="18">
        <v>15</v>
      </c>
      <c r="R29" s="12" t="s">
        <v>115</v>
      </c>
      <c r="S29" s="15">
        <v>2.5</v>
      </c>
      <c r="T29" s="86">
        <f>0.001+0.01+0.0161+0.0161+0.0032+0.0161+0.0011+0.0065-0.0161-0.0387</f>
        <v>1.5300000000000008E-2</v>
      </c>
      <c r="U29" s="79">
        <f t="shared" si="14"/>
        <v>0.58229999999999993</v>
      </c>
      <c r="V29" s="18">
        <f t="shared" si="13"/>
        <v>2.5</v>
      </c>
      <c r="W29" s="18" t="str">
        <f t="shared" si="10"/>
        <v>1 сутки</v>
      </c>
      <c r="X29" s="64">
        <f t="shared" si="5"/>
        <v>2.5</v>
      </c>
      <c r="Y29" s="18">
        <v>0</v>
      </c>
      <c r="Z29" s="66">
        <f t="shared" si="6"/>
        <v>2.5</v>
      </c>
      <c r="AA29" s="90">
        <f t="shared" si="7"/>
        <v>1.9177</v>
      </c>
      <c r="AB29" s="90">
        <f t="shared" si="15"/>
        <v>1.9177</v>
      </c>
      <c r="AC29" s="12" t="s">
        <v>24</v>
      </c>
    </row>
    <row r="30" spans="1:29" s="1" customFormat="1" ht="22.5" x14ac:dyDescent="0.2">
      <c r="A30" s="18">
        <v>16</v>
      </c>
      <c r="B30" s="12" t="s">
        <v>212</v>
      </c>
      <c r="C30" s="69">
        <v>4</v>
      </c>
      <c r="D30" s="69">
        <v>0.51600000000000001</v>
      </c>
      <c r="E30" s="69">
        <v>0.59199999999999997</v>
      </c>
      <c r="F30" s="69"/>
      <c r="G30" s="47">
        <v>0.78500000000000003</v>
      </c>
      <c r="H30" s="12">
        <f t="shared" si="16"/>
        <v>4</v>
      </c>
      <c r="I30" s="12" t="s">
        <v>12</v>
      </c>
      <c r="J30" s="48">
        <f t="shared" si="0"/>
        <v>4</v>
      </c>
      <c r="K30" s="12">
        <v>0</v>
      </c>
      <c r="L30" s="48">
        <f t="shared" si="1"/>
        <v>4</v>
      </c>
      <c r="M30" s="106">
        <f t="shared" si="2"/>
        <v>3.2149999999999999</v>
      </c>
      <c r="N30" s="106">
        <f t="shared" si="17"/>
        <v>3.2149999999999999</v>
      </c>
      <c r="O30" s="17" t="s">
        <v>24</v>
      </c>
      <c r="P30" s="16"/>
      <c r="Q30" s="18">
        <v>16</v>
      </c>
      <c r="R30" s="12" t="s">
        <v>119</v>
      </c>
      <c r="S30" s="15">
        <v>4</v>
      </c>
      <c r="T30" s="86">
        <f>0.003+0.0161-0.0161</f>
        <v>2.9999999999999992E-3</v>
      </c>
      <c r="U30" s="79">
        <f t="shared" si="14"/>
        <v>0.78800000000000003</v>
      </c>
      <c r="V30" s="18">
        <f t="shared" si="13"/>
        <v>4</v>
      </c>
      <c r="W30" s="18" t="str">
        <f t="shared" si="10"/>
        <v>1 сутки</v>
      </c>
      <c r="X30" s="64">
        <f t="shared" si="5"/>
        <v>4</v>
      </c>
      <c r="Y30" s="18">
        <v>0</v>
      </c>
      <c r="Z30" s="66">
        <f t="shared" si="6"/>
        <v>4</v>
      </c>
      <c r="AA30" s="90">
        <f t="shared" si="7"/>
        <v>3.2119999999999997</v>
      </c>
      <c r="AB30" s="90">
        <f t="shared" si="15"/>
        <v>3.2119999999999997</v>
      </c>
      <c r="AC30" s="12" t="s">
        <v>24</v>
      </c>
    </row>
    <row r="31" spans="1:29" s="1" customFormat="1" ht="27" customHeight="1" x14ac:dyDescent="0.2">
      <c r="A31" s="18">
        <v>17</v>
      </c>
      <c r="B31" s="12" t="s">
        <v>125</v>
      </c>
      <c r="C31" s="69">
        <v>4</v>
      </c>
      <c r="D31" s="69">
        <v>0.69799999999999995</v>
      </c>
      <c r="E31" s="69">
        <v>0.31</v>
      </c>
      <c r="F31" s="69"/>
      <c r="G31" s="47">
        <v>0.76400000000000001</v>
      </c>
      <c r="H31" s="12">
        <f t="shared" si="16"/>
        <v>4</v>
      </c>
      <c r="I31" s="12" t="s">
        <v>12</v>
      </c>
      <c r="J31" s="48">
        <f t="shared" si="0"/>
        <v>4</v>
      </c>
      <c r="K31" s="12">
        <v>0</v>
      </c>
      <c r="L31" s="48">
        <f t="shared" si="1"/>
        <v>4</v>
      </c>
      <c r="M31" s="106">
        <f t="shared" si="2"/>
        <v>3.2359999999999998</v>
      </c>
      <c r="N31" s="106">
        <f t="shared" si="17"/>
        <v>3.2359999999999998</v>
      </c>
      <c r="O31" s="17" t="s">
        <v>24</v>
      </c>
      <c r="P31" s="16"/>
      <c r="Q31" s="18">
        <v>17</v>
      </c>
      <c r="R31" s="12" t="s">
        <v>125</v>
      </c>
      <c r="S31" s="15">
        <v>4</v>
      </c>
      <c r="T31" s="86">
        <f>0.031+0.018+0.005+0.005+0.011+0.016+0.005+0.007+0.0011+0.0215+0.005376+0.0129-0.0124+0.0068+0.0129-0.0939+0.0086</f>
        <v>6.0876E-2</v>
      </c>
      <c r="U31" s="79">
        <f t="shared" si="14"/>
        <v>0.82487600000000005</v>
      </c>
      <c r="V31" s="18">
        <f t="shared" si="13"/>
        <v>4</v>
      </c>
      <c r="W31" s="18" t="str">
        <f t="shared" si="10"/>
        <v>1 сутки</v>
      </c>
      <c r="X31" s="64">
        <f t="shared" si="5"/>
        <v>4</v>
      </c>
      <c r="Y31" s="18">
        <v>0</v>
      </c>
      <c r="Z31" s="66">
        <f t="shared" si="6"/>
        <v>4</v>
      </c>
      <c r="AA31" s="90">
        <f t="shared" si="7"/>
        <v>3.1751239999999998</v>
      </c>
      <c r="AB31" s="90">
        <f t="shared" si="15"/>
        <v>3.1751239999999998</v>
      </c>
      <c r="AC31" s="12" t="s">
        <v>24</v>
      </c>
    </row>
    <row r="32" spans="1:29" s="1" customFormat="1" ht="22.5" x14ac:dyDescent="0.2">
      <c r="A32" s="18">
        <v>18</v>
      </c>
      <c r="B32" s="12" t="s">
        <v>126</v>
      </c>
      <c r="C32" s="69">
        <v>1.6</v>
      </c>
      <c r="D32" s="69">
        <v>0.38800000000000001</v>
      </c>
      <c r="E32" s="69">
        <v>0.153</v>
      </c>
      <c r="F32" s="69"/>
      <c r="G32" s="47">
        <v>0.41699999999999998</v>
      </c>
      <c r="H32" s="12">
        <f t="shared" si="16"/>
        <v>1.6</v>
      </c>
      <c r="I32" s="12" t="s">
        <v>12</v>
      </c>
      <c r="J32" s="48">
        <f t="shared" si="0"/>
        <v>1.6</v>
      </c>
      <c r="K32" s="12">
        <v>0</v>
      </c>
      <c r="L32" s="48">
        <f t="shared" si="1"/>
        <v>1.6</v>
      </c>
      <c r="M32" s="106">
        <f t="shared" si="2"/>
        <v>1.1830000000000001</v>
      </c>
      <c r="N32" s="106">
        <f t="shared" si="17"/>
        <v>1.1830000000000001</v>
      </c>
      <c r="O32" s="17" t="s">
        <v>24</v>
      </c>
      <c r="P32" s="16"/>
      <c r="Q32" s="18">
        <v>18</v>
      </c>
      <c r="R32" s="12" t="s">
        <v>126</v>
      </c>
      <c r="S32" s="15">
        <v>1.6</v>
      </c>
      <c r="T32" s="86">
        <f>0.016+0.725-0.109+0.0514+0.0038-0.0132</f>
        <v>0.67400000000000004</v>
      </c>
      <c r="U32" s="79">
        <f t="shared" si="14"/>
        <v>1.091</v>
      </c>
      <c r="V32" s="18">
        <f t="shared" si="13"/>
        <v>1.6</v>
      </c>
      <c r="W32" s="18" t="str">
        <f t="shared" si="10"/>
        <v>1 сутки</v>
      </c>
      <c r="X32" s="64">
        <f t="shared" si="5"/>
        <v>1.6</v>
      </c>
      <c r="Y32" s="18">
        <v>0</v>
      </c>
      <c r="Z32" s="66">
        <f t="shared" si="6"/>
        <v>1.6</v>
      </c>
      <c r="AA32" s="90">
        <f t="shared" si="7"/>
        <v>0.50900000000000012</v>
      </c>
      <c r="AB32" s="90">
        <f t="shared" si="15"/>
        <v>0.50900000000000012</v>
      </c>
      <c r="AC32" s="12" t="s">
        <v>24</v>
      </c>
    </row>
    <row r="33" spans="1:29" s="1" customFormat="1" ht="22.5" x14ac:dyDescent="0.2">
      <c r="A33" s="18">
        <v>19</v>
      </c>
      <c r="B33" s="12" t="s">
        <v>137</v>
      </c>
      <c r="C33" s="69">
        <v>2.5</v>
      </c>
      <c r="D33" s="69">
        <v>0.58699999999999997</v>
      </c>
      <c r="E33" s="69">
        <v>0.28299999999999997</v>
      </c>
      <c r="F33" s="69"/>
      <c r="G33" s="47">
        <v>0.65100000000000002</v>
      </c>
      <c r="H33" s="12">
        <f t="shared" si="16"/>
        <v>2.5</v>
      </c>
      <c r="I33" s="12" t="s">
        <v>12</v>
      </c>
      <c r="J33" s="48">
        <f t="shared" si="0"/>
        <v>2.5</v>
      </c>
      <c r="K33" s="12">
        <v>0</v>
      </c>
      <c r="L33" s="48">
        <f t="shared" si="1"/>
        <v>2.5</v>
      </c>
      <c r="M33" s="106">
        <f t="shared" si="2"/>
        <v>1.849</v>
      </c>
      <c r="N33" s="106">
        <f t="shared" si="17"/>
        <v>1.849</v>
      </c>
      <c r="O33" s="17" t="s">
        <v>24</v>
      </c>
      <c r="P33" s="16"/>
      <c r="Q33" s="18">
        <v>19</v>
      </c>
      <c r="R33" s="12" t="s">
        <v>137</v>
      </c>
      <c r="S33" s="15">
        <v>2.5</v>
      </c>
      <c r="T33" s="86">
        <f>0.002+0.003+0.0161+0.0376-0.0202+0.0043+0.0161-0.0054+0.0161</f>
        <v>6.9600000000000009E-2</v>
      </c>
      <c r="U33" s="79">
        <f t="shared" si="14"/>
        <v>0.72060000000000002</v>
      </c>
      <c r="V33" s="18">
        <f t="shared" si="13"/>
        <v>2.5</v>
      </c>
      <c r="W33" s="18" t="str">
        <f t="shared" si="10"/>
        <v>1 сутки</v>
      </c>
      <c r="X33" s="64">
        <f t="shared" si="5"/>
        <v>2.5</v>
      </c>
      <c r="Y33" s="18">
        <v>0</v>
      </c>
      <c r="Z33" s="66">
        <f t="shared" si="6"/>
        <v>2.5</v>
      </c>
      <c r="AA33" s="90">
        <f t="shared" si="7"/>
        <v>1.7793999999999999</v>
      </c>
      <c r="AB33" s="90">
        <f t="shared" si="15"/>
        <v>1.7793999999999999</v>
      </c>
      <c r="AC33" s="12" t="s">
        <v>24</v>
      </c>
    </row>
    <row r="34" spans="1:29" s="1" customFormat="1" ht="22.5" x14ac:dyDescent="0.2">
      <c r="A34" s="18">
        <v>20</v>
      </c>
      <c r="B34" s="12" t="s">
        <v>138</v>
      </c>
      <c r="C34" s="69">
        <v>2.5</v>
      </c>
      <c r="D34" s="69">
        <v>0.33</v>
      </c>
      <c r="E34" s="69">
        <v>0.158</v>
      </c>
      <c r="F34" s="69"/>
      <c r="G34" s="47">
        <v>0.36599999999999999</v>
      </c>
      <c r="H34" s="12">
        <f t="shared" si="16"/>
        <v>2.5</v>
      </c>
      <c r="I34" s="12" t="s">
        <v>12</v>
      </c>
      <c r="J34" s="48">
        <f t="shared" si="0"/>
        <v>2.5</v>
      </c>
      <c r="K34" s="12">
        <v>0</v>
      </c>
      <c r="L34" s="48">
        <f t="shared" si="1"/>
        <v>2.5</v>
      </c>
      <c r="M34" s="106">
        <f t="shared" si="2"/>
        <v>2.1339999999999999</v>
      </c>
      <c r="N34" s="106">
        <f t="shared" si="17"/>
        <v>2.1339999999999999</v>
      </c>
      <c r="O34" s="17" t="s">
        <v>24</v>
      </c>
      <c r="P34" s="16"/>
      <c r="Q34" s="18">
        <v>20</v>
      </c>
      <c r="R34" s="12" t="s">
        <v>138</v>
      </c>
      <c r="S34" s="15">
        <v>2.5</v>
      </c>
      <c r="T34" s="86">
        <f>0.005+0.0161-0.0048+0.0108-0.0108</f>
        <v>1.6300000000000002E-2</v>
      </c>
      <c r="U34" s="79">
        <f t="shared" si="14"/>
        <v>0.38229999999999997</v>
      </c>
      <c r="V34" s="18">
        <f t="shared" si="13"/>
        <v>2.5</v>
      </c>
      <c r="W34" s="18" t="str">
        <f t="shared" si="10"/>
        <v>1 сутки</v>
      </c>
      <c r="X34" s="64">
        <f t="shared" si="5"/>
        <v>2.5</v>
      </c>
      <c r="Y34" s="18">
        <v>0</v>
      </c>
      <c r="Z34" s="66">
        <f t="shared" si="6"/>
        <v>2.5</v>
      </c>
      <c r="AA34" s="90">
        <f t="shared" si="7"/>
        <v>2.1177000000000001</v>
      </c>
      <c r="AB34" s="90">
        <f t="shared" si="15"/>
        <v>2.1177000000000001</v>
      </c>
      <c r="AC34" s="12" t="s">
        <v>24</v>
      </c>
    </row>
    <row r="35" spans="1:29" s="1" customFormat="1" ht="22.5" x14ac:dyDescent="0.2">
      <c r="A35" s="18">
        <v>21</v>
      </c>
      <c r="B35" s="12" t="s">
        <v>139</v>
      </c>
      <c r="C35" s="69">
        <v>2.5</v>
      </c>
      <c r="D35" s="69">
        <v>0.72699999999999998</v>
      </c>
      <c r="E35" s="69">
        <v>0.23599999999999999</v>
      </c>
      <c r="F35" s="69"/>
      <c r="G35" s="47">
        <v>0.753</v>
      </c>
      <c r="H35" s="12">
        <f t="shared" si="16"/>
        <v>2.5</v>
      </c>
      <c r="I35" s="12" t="s">
        <v>12</v>
      </c>
      <c r="J35" s="48">
        <f t="shared" si="0"/>
        <v>2.5</v>
      </c>
      <c r="K35" s="12">
        <v>0</v>
      </c>
      <c r="L35" s="48">
        <f t="shared" si="1"/>
        <v>2.5</v>
      </c>
      <c r="M35" s="106">
        <f t="shared" si="2"/>
        <v>1.7469999999999999</v>
      </c>
      <c r="N35" s="106">
        <f t="shared" si="17"/>
        <v>1.7469999999999999</v>
      </c>
      <c r="O35" s="17" t="s">
        <v>24</v>
      </c>
      <c r="P35" s="16"/>
      <c r="Q35" s="18">
        <v>21</v>
      </c>
      <c r="R35" s="12" t="s">
        <v>139</v>
      </c>
      <c r="S35" s="15">
        <v>2.5</v>
      </c>
      <c r="T35" s="86">
        <f>0.01</f>
        <v>0.01</v>
      </c>
      <c r="U35" s="79">
        <f t="shared" si="14"/>
        <v>0.76300000000000001</v>
      </c>
      <c r="V35" s="18">
        <f t="shared" si="13"/>
        <v>2.5</v>
      </c>
      <c r="W35" s="18" t="str">
        <f t="shared" si="10"/>
        <v>1 сутки</v>
      </c>
      <c r="X35" s="64">
        <f t="shared" si="5"/>
        <v>2.5</v>
      </c>
      <c r="Y35" s="18">
        <v>0</v>
      </c>
      <c r="Z35" s="66">
        <f t="shared" si="6"/>
        <v>2.5</v>
      </c>
      <c r="AA35" s="90">
        <f t="shared" si="7"/>
        <v>1.7370000000000001</v>
      </c>
      <c r="AB35" s="90">
        <f t="shared" si="15"/>
        <v>1.7370000000000001</v>
      </c>
      <c r="AC35" s="12" t="s">
        <v>24</v>
      </c>
    </row>
    <row r="36" spans="1:29" s="1" customFormat="1" ht="22.5" x14ac:dyDescent="0.2">
      <c r="A36" s="18">
        <v>22</v>
      </c>
      <c r="B36" s="12" t="s">
        <v>140</v>
      </c>
      <c r="C36" s="69">
        <v>4</v>
      </c>
      <c r="D36" s="69">
        <v>0.26300000000000001</v>
      </c>
      <c r="E36" s="69">
        <v>0.19500000000000001</v>
      </c>
      <c r="F36" s="69"/>
      <c r="G36" s="47">
        <v>0.32700000000000001</v>
      </c>
      <c r="H36" s="12">
        <f t="shared" si="16"/>
        <v>4</v>
      </c>
      <c r="I36" s="12" t="s">
        <v>12</v>
      </c>
      <c r="J36" s="48">
        <f t="shared" si="0"/>
        <v>4</v>
      </c>
      <c r="K36" s="12">
        <v>0</v>
      </c>
      <c r="L36" s="48">
        <f t="shared" si="1"/>
        <v>4</v>
      </c>
      <c r="M36" s="106">
        <f t="shared" si="2"/>
        <v>3.673</v>
      </c>
      <c r="N36" s="106">
        <f t="shared" si="17"/>
        <v>3.673</v>
      </c>
      <c r="O36" s="17" t="s">
        <v>24</v>
      </c>
      <c r="P36" s="16"/>
      <c r="Q36" s="18">
        <v>22</v>
      </c>
      <c r="R36" s="12" t="s">
        <v>140</v>
      </c>
      <c r="S36" s="15">
        <v>4</v>
      </c>
      <c r="T36" s="86">
        <f>0.005+0.0043-0.0054+0.0032-0.0032-0.0035</f>
        <v>3.9999999999999845E-4</v>
      </c>
      <c r="U36" s="79">
        <f t="shared" si="14"/>
        <v>0.32740000000000002</v>
      </c>
      <c r="V36" s="18">
        <f t="shared" si="13"/>
        <v>4</v>
      </c>
      <c r="W36" s="18" t="str">
        <f t="shared" si="10"/>
        <v>1 сутки</v>
      </c>
      <c r="X36" s="64">
        <f t="shared" si="5"/>
        <v>4</v>
      </c>
      <c r="Y36" s="18">
        <v>0</v>
      </c>
      <c r="Z36" s="66">
        <f t="shared" si="6"/>
        <v>4</v>
      </c>
      <c r="AA36" s="90">
        <f t="shared" si="7"/>
        <v>3.6726000000000001</v>
      </c>
      <c r="AB36" s="90">
        <f t="shared" si="15"/>
        <v>3.6726000000000001</v>
      </c>
      <c r="AC36" s="12" t="s">
        <v>24</v>
      </c>
    </row>
    <row r="37" spans="1:29" s="1" customFormat="1" ht="22.5" x14ac:dyDescent="0.2">
      <c r="A37" s="18">
        <v>23</v>
      </c>
      <c r="B37" s="12" t="s">
        <v>141</v>
      </c>
      <c r="C37" s="69">
        <v>2.5</v>
      </c>
      <c r="D37" s="69">
        <v>0.441</v>
      </c>
      <c r="E37" s="69">
        <v>0.17799999999999999</v>
      </c>
      <c r="F37" s="69"/>
      <c r="G37" s="47">
        <v>0.47599999999999998</v>
      </c>
      <c r="H37" s="12">
        <f t="shared" si="16"/>
        <v>2.5</v>
      </c>
      <c r="I37" s="12" t="s">
        <v>12</v>
      </c>
      <c r="J37" s="48">
        <f t="shared" si="0"/>
        <v>2.5</v>
      </c>
      <c r="K37" s="12">
        <v>0</v>
      </c>
      <c r="L37" s="48">
        <f t="shared" si="1"/>
        <v>2.5</v>
      </c>
      <c r="M37" s="106">
        <f t="shared" si="2"/>
        <v>2.024</v>
      </c>
      <c r="N37" s="106">
        <f t="shared" si="17"/>
        <v>2.024</v>
      </c>
      <c r="O37" s="17" t="s">
        <v>24</v>
      </c>
      <c r="P37" s="16"/>
      <c r="Q37" s="18">
        <v>23</v>
      </c>
      <c r="R37" s="12" t="s">
        <v>141</v>
      </c>
      <c r="S37" s="15">
        <v>2.5</v>
      </c>
      <c r="T37" s="86">
        <f>0.02+0.005+0.002+0.011+0.016+0.0161-0.0129+0.0462+0.028+0.0065+0.0199+0.0161-0.0484+0.0043+0.0161+0.0038+0.1075-0.0263+0.0366</f>
        <v>0.26750000000000007</v>
      </c>
      <c r="U37" s="79">
        <f t="shared" si="14"/>
        <v>0.74350000000000005</v>
      </c>
      <c r="V37" s="18">
        <f t="shared" si="13"/>
        <v>2.5</v>
      </c>
      <c r="W37" s="18" t="str">
        <f t="shared" si="10"/>
        <v>1 сутки</v>
      </c>
      <c r="X37" s="64">
        <f t="shared" si="5"/>
        <v>2.5</v>
      </c>
      <c r="Y37" s="18">
        <v>0</v>
      </c>
      <c r="Z37" s="66">
        <f t="shared" si="6"/>
        <v>2.5</v>
      </c>
      <c r="AA37" s="90">
        <f t="shared" si="7"/>
        <v>1.7565</v>
      </c>
      <c r="AB37" s="90">
        <f t="shared" si="15"/>
        <v>1.7565</v>
      </c>
      <c r="AC37" s="12" t="s">
        <v>24</v>
      </c>
    </row>
    <row r="38" spans="1:29" s="1" customFormat="1" ht="22.5" x14ac:dyDescent="0.2">
      <c r="A38" s="18">
        <v>24</v>
      </c>
      <c r="B38" s="12" t="s">
        <v>144</v>
      </c>
      <c r="C38" s="69">
        <v>4</v>
      </c>
      <c r="D38" s="69">
        <v>1.784</v>
      </c>
      <c r="E38" s="69">
        <v>1.0900000000000001</v>
      </c>
      <c r="F38" s="69"/>
      <c r="G38" s="47">
        <v>2.0910000000000002</v>
      </c>
      <c r="H38" s="12">
        <f t="shared" si="16"/>
        <v>4</v>
      </c>
      <c r="I38" s="12" t="s">
        <v>12</v>
      </c>
      <c r="J38" s="48">
        <f t="shared" si="0"/>
        <v>4</v>
      </c>
      <c r="K38" s="12">
        <v>0</v>
      </c>
      <c r="L38" s="48">
        <f t="shared" si="1"/>
        <v>4</v>
      </c>
      <c r="M38" s="106">
        <f t="shared" si="2"/>
        <v>1.9089999999999998</v>
      </c>
      <c r="N38" s="106">
        <f t="shared" si="17"/>
        <v>1.9089999999999998</v>
      </c>
      <c r="O38" s="17" t="s">
        <v>24</v>
      </c>
      <c r="P38" s="16"/>
      <c r="Q38" s="18">
        <v>24</v>
      </c>
      <c r="R38" s="12" t="s">
        <v>144</v>
      </c>
      <c r="S38" s="15">
        <v>4</v>
      </c>
      <c r="T38" s="86">
        <f>0.009+1.129+0.0161+0.0462-0.5209+0.1613+0.1613+0.269+0.5914-0.3129+0.5914+0.2763+0.0161-0.8946+0.0108</f>
        <v>1.5494999999999999</v>
      </c>
      <c r="U38" s="79">
        <f t="shared" si="14"/>
        <v>3.6405000000000003</v>
      </c>
      <c r="V38" s="18">
        <f t="shared" si="13"/>
        <v>4</v>
      </c>
      <c r="W38" s="18" t="str">
        <f t="shared" si="10"/>
        <v>1 сутки</v>
      </c>
      <c r="X38" s="64">
        <f t="shared" si="5"/>
        <v>4</v>
      </c>
      <c r="Y38" s="18">
        <v>0</v>
      </c>
      <c r="Z38" s="66">
        <f t="shared" si="6"/>
        <v>4</v>
      </c>
      <c r="AA38" s="90">
        <f t="shared" si="7"/>
        <v>0.35949999999999971</v>
      </c>
      <c r="AB38" s="90">
        <f t="shared" si="15"/>
        <v>0.35949999999999971</v>
      </c>
      <c r="AC38" s="12" t="s">
        <v>24</v>
      </c>
    </row>
    <row r="39" spans="1:29" s="1" customFormat="1" ht="22.5" x14ac:dyDescent="0.2">
      <c r="A39" s="18">
        <v>25</v>
      </c>
      <c r="B39" s="12" t="s">
        <v>146</v>
      </c>
      <c r="C39" s="69">
        <v>2.5</v>
      </c>
      <c r="D39" s="69">
        <v>0.8</v>
      </c>
      <c r="E39" s="69">
        <v>0.34499999999999997</v>
      </c>
      <c r="F39" s="69"/>
      <c r="G39" s="47">
        <v>0.871</v>
      </c>
      <c r="H39" s="12">
        <f t="shared" si="16"/>
        <v>2.5</v>
      </c>
      <c r="I39" s="12" t="s">
        <v>12</v>
      </c>
      <c r="J39" s="48">
        <f t="shared" si="0"/>
        <v>2.5</v>
      </c>
      <c r="K39" s="12">
        <v>0</v>
      </c>
      <c r="L39" s="48">
        <f t="shared" si="1"/>
        <v>2.5</v>
      </c>
      <c r="M39" s="106">
        <f t="shared" si="2"/>
        <v>1.629</v>
      </c>
      <c r="N39" s="106">
        <f t="shared" si="17"/>
        <v>1.629</v>
      </c>
      <c r="O39" s="17" t="s">
        <v>24</v>
      </c>
      <c r="P39" s="16"/>
      <c r="Q39" s="18">
        <v>25</v>
      </c>
      <c r="R39" s="12" t="s">
        <v>146</v>
      </c>
      <c r="S39" s="15">
        <v>2.5</v>
      </c>
      <c r="T39" s="86">
        <f>0.03+0.016+0.008+0.0068+0.0161-0.0237</f>
        <v>5.3199999999999997E-2</v>
      </c>
      <c r="U39" s="79">
        <f t="shared" si="14"/>
        <v>0.92420000000000002</v>
      </c>
      <c r="V39" s="18">
        <f t="shared" si="13"/>
        <v>2.5</v>
      </c>
      <c r="W39" s="18" t="str">
        <f t="shared" si="10"/>
        <v>1 сутки</v>
      </c>
      <c r="X39" s="64">
        <f t="shared" si="5"/>
        <v>2.5</v>
      </c>
      <c r="Y39" s="18">
        <v>0</v>
      </c>
      <c r="Z39" s="66">
        <f t="shared" si="6"/>
        <v>2.5</v>
      </c>
      <c r="AA39" s="90">
        <f t="shared" si="7"/>
        <v>1.5758000000000001</v>
      </c>
      <c r="AB39" s="90">
        <f t="shared" si="15"/>
        <v>1.5758000000000001</v>
      </c>
      <c r="AC39" s="12" t="s">
        <v>24</v>
      </c>
    </row>
    <row r="40" spans="1:29" s="1" customFormat="1" ht="22.5" x14ac:dyDescent="0.2">
      <c r="A40" s="18">
        <v>26</v>
      </c>
      <c r="B40" s="12" t="s">
        <v>150</v>
      </c>
      <c r="C40" s="69">
        <v>1</v>
      </c>
      <c r="D40" s="69">
        <v>5.6000000000000001E-2</v>
      </c>
      <c r="E40" s="69">
        <v>4.1000000000000002E-2</v>
      </c>
      <c r="F40" s="69"/>
      <c r="G40" s="47">
        <v>6.9000000000000006E-2</v>
      </c>
      <c r="H40" s="12">
        <f t="shared" si="16"/>
        <v>1</v>
      </c>
      <c r="I40" s="12" t="s">
        <v>12</v>
      </c>
      <c r="J40" s="48">
        <f t="shared" si="0"/>
        <v>1</v>
      </c>
      <c r="K40" s="12">
        <v>0</v>
      </c>
      <c r="L40" s="48">
        <f t="shared" si="1"/>
        <v>1</v>
      </c>
      <c r="M40" s="106">
        <f t="shared" si="2"/>
        <v>0.93100000000000005</v>
      </c>
      <c r="N40" s="106">
        <f t="shared" si="17"/>
        <v>0.93100000000000005</v>
      </c>
      <c r="O40" s="17" t="s">
        <v>24</v>
      </c>
      <c r="P40" s="16"/>
      <c r="Q40" s="18">
        <v>26</v>
      </c>
      <c r="R40" s="12" t="s">
        <v>150</v>
      </c>
      <c r="S40" s="15">
        <v>1</v>
      </c>
      <c r="T40" s="86">
        <v>0</v>
      </c>
      <c r="U40" s="79">
        <f t="shared" si="14"/>
        <v>6.9000000000000006E-2</v>
      </c>
      <c r="V40" s="18">
        <f t="shared" si="13"/>
        <v>1</v>
      </c>
      <c r="W40" s="18" t="str">
        <f t="shared" si="10"/>
        <v>1 сутки</v>
      </c>
      <c r="X40" s="64">
        <f t="shared" si="5"/>
        <v>1</v>
      </c>
      <c r="Y40" s="18">
        <v>0</v>
      </c>
      <c r="Z40" s="66">
        <f t="shared" si="6"/>
        <v>1</v>
      </c>
      <c r="AA40" s="90">
        <f t="shared" si="7"/>
        <v>0.93100000000000005</v>
      </c>
      <c r="AB40" s="90">
        <f t="shared" si="15"/>
        <v>0.93100000000000005</v>
      </c>
      <c r="AC40" s="12" t="s">
        <v>24</v>
      </c>
    </row>
    <row r="41" spans="1:29" s="1" customFormat="1" ht="24.75" customHeight="1" x14ac:dyDescent="0.2">
      <c r="A41" s="18">
        <v>27</v>
      </c>
      <c r="B41" s="12" t="s">
        <v>151</v>
      </c>
      <c r="C41" s="69">
        <v>4</v>
      </c>
      <c r="D41" s="69">
        <v>0.82699999999999996</v>
      </c>
      <c r="E41" s="69">
        <v>0.215</v>
      </c>
      <c r="F41" s="69"/>
      <c r="G41" s="47">
        <v>0.85499999999999998</v>
      </c>
      <c r="H41" s="12">
        <f t="shared" si="16"/>
        <v>4</v>
      </c>
      <c r="I41" s="12" t="s">
        <v>12</v>
      </c>
      <c r="J41" s="48">
        <f t="shared" si="0"/>
        <v>4</v>
      </c>
      <c r="K41" s="12">
        <v>0</v>
      </c>
      <c r="L41" s="48">
        <f t="shared" si="1"/>
        <v>4</v>
      </c>
      <c r="M41" s="106">
        <f t="shared" si="2"/>
        <v>3.145</v>
      </c>
      <c r="N41" s="106">
        <f t="shared" si="17"/>
        <v>3.145</v>
      </c>
      <c r="O41" s="17" t="s">
        <v>24</v>
      </c>
      <c r="P41" s="16"/>
      <c r="Q41" s="18">
        <v>27</v>
      </c>
      <c r="R41" s="12" t="s">
        <v>151</v>
      </c>
      <c r="S41" s="15">
        <v>4</v>
      </c>
      <c r="T41" s="86">
        <f>0.1+0.01+0.007-0.0032+0.006+0.0097+0.0068-0.0118+0.0161</f>
        <v>0.1406</v>
      </c>
      <c r="U41" s="79">
        <f t="shared" si="14"/>
        <v>0.99560000000000004</v>
      </c>
      <c r="V41" s="18">
        <f t="shared" si="13"/>
        <v>4</v>
      </c>
      <c r="W41" s="18" t="str">
        <f t="shared" si="10"/>
        <v>1 сутки</v>
      </c>
      <c r="X41" s="64">
        <f t="shared" si="5"/>
        <v>4</v>
      </c>
      <c r="Y41" s="18">
        <v>0</v>
      </c>
      <c r="Z41" s="66">
        <f t="shared" si="6"/>
        <v>4</v>
      </c>
      <c r="AA41" s="90">
        <f t="shared" si="7"/>
        <v>3.0044</v>
      </c>
      <c r="AB41" s="90">
        <f t="shared" si="15"/>
        <v>3.0044</v>
      </c>
      <c r="AC41" s="12" t="s">
        <v>24</v>
      </c>
    </row>
    <row r="42" spans="1:29" s="1" customFormat="1" ht="22.5" x14ac:dyDescent="0.2">
      <c r="A42" s="18">
        <v>28</v>
      </c>
      <c r="B42" s="12" t="s">
        <v>211</v>
      </c>
      <c r="C42" s="69">
        <v>2.5</v>
      </c>
      <c r="D42" s="69">
        <v>0.65400000000000003</v>
      </c>
      <c r="E42" s="69">
        <v>0.58099999999999996</v>
      </c>
      <c r="F42" s="69"/>
      <c r="G42" s="47">
        <v>0.874</v>
      </c>
      <c r="H42" s="12">
        <f t="shared" si="16"/>
        <v>2.5</v>
      </c>
      <c r="I42" s="12" t="s">
        <v>12</v>
      </c>
      <c r="J42" s="48">
        <f t="shared" si="0"/>
        <v>2.5</v>
      </c>
      <c r="K42" s="12">
        <v>0</v>
      </c>
      <c r="L42" s="48">
        <f t="shared" si="1"/>
        <v>2.5</v>
      </c>
      <c r="M42" s="106">
        <f t="shared" si="2"/>
        <v>1.6259999999999999</v>
      </c>
      <c r="N42" s="106">
        <f t="shared" si="17"/>
        <v>1.6259999999999999</v>
      </c>
      <c r="O42" s="17" t="s">
        <v>24</v>
      </c>
      <c r="P42" s="16"/>
      <c r="Q42" s="18">
        <v>28</v>
      </c>
      <c r="R42" s="12" t="s">
        <v>211</v>
      </c>
      <c r="S42" s="15">
        <v>2.5</v>
      </c>
      <c r="T42" s="86">
        <f>0.005+0.003+0.005+0.0156+0.215-0.215</f>
        <v>2.8599999999999987E-2</v>
      </c>
      <c r="U42" s="79">
        <f t="shared" si="14"/>
        <v>0.90259999999999996</v>
      </c>
      <c r="V42" s="18">
        <f t="shared" si="13"/>
        <v>2.5</v>
      </c>
      <c r="W42" s="18" t="str">
        <f t="shared" si="10"/>
        <v>1 сутки</v>
      </c>
      <c r="X42" s="64">
        <f t="shared" si="5"/>
        <v>2.5</v>
      </c>
      <c r="Y42" s="18">
        <v>0</v>
      </c>
      <c r="Z42" s="66">
        <f t="shared" si="6"/>
        <v>2.5</v>
      </c>
      <c r="AA42" s="90">
        <f t="shared" si="7"/>
        <v>1.5973999999999999</v>
      </c>
      <c r="AB42" s="90">
        <f t="shared" si="15"/>
        <v>1.5973999999999999</v>
      </c>
      <c r="AC42" s="12" t="s">
        <v>24</v>
      </c>
    </row>
    <row r="43" spans="1:29" s="1" customFormat="1" ht="22.5" x14ac:dyDescent="0.2">
      <c r="A43" s="18">
        <v>29</v>
      </c>
      <c r="B43" s="12" t="s">
        <v>195</v>
      </c>
      <c r="C43" s="69">
        <v>1.6</v>
      </c>
      <c r="D43" s="69">
        <v>0.20799999999999999</v>
      </c>
      <c r="E43" s="69">
        <v>9.5000000000000001E-2</v>
      </c>
      <c r="F43" s="69"/>
      <c r="G43" s="47">
        <v>0.22900000000000001</v>
      </c>
      <c r="H43" s="12">
        <f t="shared" si="16"/>
        <v>1.6</v>
      </c>
      <c r="I43" s="12" t="s">
        <v>12</v>
      </c>
      <c r="J43" s="48">
        <f t="shared" si="0"/>
        <v>1.6</v>
      </c>
      <c r="K43" s="12">
        <v>0</v>
      </c>
      <c r="L43" s="48">
        <f t="shared" si="1"/>
        <v>1.6</v>
      </c>
      <c r="M43" s="106">
        <f t="shared" si="2"/>
        <v>1.371</v>
      </c>
      <c r="N43" s="106">
        <f t="shared" si="17"/>
        <v>1.371</v>
      </c>
      <c r="O43" s="17" t="s">
        <v>24</v>
      </c>
      <c r="P43" s="16"/>
      <c r="Q43" s="18">
        <v>29</v>
      </c>
      <c r="R43" s="12" t="s">
        <v>195</v>
      </c>
      <c r="S43" s="15">
        <v>1.6</v>
      </c>
      <c r="T43" s="86">
        <f>0.0108-0.0097+0.0054</f>
        <v>6.5000000000000006E-3</v>
      </c>
      <c r="U43" s="79">
        <f t="shared" si="14"/>
        <v>0.23550000000000001</v>
      </c>
      <c r="V43" s="18">
        <f t="shared" si="13"/>
        <v>1.6</v>
      </c>
      <c r="W43" s="18" t="str">
        <f t="shared" si="10"/>
        <v>1 сутки</v>
      </c>
      <c r="X43" s="64">
        <f t="shared" si="5"/>
        <v>1.6</v>
      </c>
      <c r="Y43" s="18">
        <v>0</v>
      </c>
      <c r="Z43" s="66">
        <f t="shared" si="6"/>
        <v>1.6</v>
      </c>
      <c r="AA43" s="90">
        <f t="shared" si="7"/>
        <v>1.3645</v>
      </c>
      <c r="AB43" s="90">
        <f t="shared" si="15"/>
        <v>1.3645</v>
      </c>
      <c r="AC43" s="12" t="s">
        <v>24</v>
      </c>
    </row>
    <row r="44" spans="1:29" s="1" customFormat="1" ht="22.5" x14ac:dyDescent="0.2">
      <c r="A44" s="18">
        <v>30</v>
      </c>
      <c r="B44" s="12" t="s">
        <v>197</v>
      </c>
      <c r="C44" s="69">
        <v>2.5</v>
      </c>
      <c r="D44" s="69">
        <v>0.27800000000000002</v>
      </c>
      <c r="E44" s="69">
        <v>0.121</v>
      </c>
      <c r="F44" s="69"/>
      <c r="G44" s="47">
        <v>0.30299999999999999</v>
      </c>
      <c r="H44" s="12">
        <f t="shared" si="16"/>
        <v>2.5</v>
      </c>
      <c r="I44" s="12" t="s">
        <v>12</v>
      </c>
      <c r="J44" s="48">
        <f t="shared" si="0"/>
        <v>2.5</v>
      </c>
      <c r="K44" s="12">
        <v>0</v>
      </c>
      <c r="L44" s="48">
        <f t="shared" si="1"/>
        <v>2.5</v>
      </c>
      <c r="M44" s="106">
        <f t="shared" si="2"/>
        <v>2.1970000000000001</v>
      </c>
      <c r="N44" s="106">
        <f t="shared" si="17"/>
        <v>2.1970000000000001</v>
      </c>
      <c r="O44" s="17" t="s">
        <v>24</v>
      </c>
      <c r="P44" s="16"/>
      <c r="Q44" s="18">
        <v>30</v>
      </c>
      <c r="R44" s="12" t="s">
        <v>197</v>
      </c>
      <c r="S44" s="15">
        <v>2.5</v>
      </c>
      <c r="T44" s="86">
        <f>0.003+0.005+0.003+0.003-0.0086-0.003+0.0108-0.0108</f>
        <v>2.3999999999999994E-3</v>
      </c>
      <c r="U44" s="79">
        <f t="shared" si="14"/>
        <v>0.3054</v>
      </c>
      <c r="V44" s="18">
        <f t="shared" si="13"/>
        <v>2.5</v>
      </c>
      <c r="W44" s="18" t="str">
        <f t="shared" si="10"/>
        <v>1 сутки</v>
      </c>
      <c r="X44" s="64">
        <f t="shared" si="5"/>
        <v>2.5</v>
      </c>
      <c r="Y44" s="18">
        <v>0</v>
      </c>
      <c r="Z44" s="66">
        <f t="shared" si="6"/>
        <v>2.5</v>
      </c>
      <c r="AA44" s="90">
        <f t="shared" si="7"/>
        <v>2.1945999999999999</v>
      </c>
      <c r="AB44" s="90">
        <f t="shared" si="15"/>
        <v>2.1945999999999999</v>
      </c>
      <c r="AC44" s="12" t="s">
        <v>24</v>
      </c>
    </row>
    <row r="45" spans="1:29" s="1" customFormat="1" ht="22.5" x14ac:dyDescent="0.2">
      <c r="A45" s="18">
        <v>31</v>
      </c>
      <c r="B45" s="12" t="s">
        <v>199</v>
      </c>
      <c r="C45" s="69">
        <v>1.6</v>
      </c>
      <c r="D45" s="69">
        <v>0.16800000000000001</v>
      </c>
      <c r="E45" s="69">
        <v>0.19600000000000001</v>
      </c>
      <c r="F45" s="69"/>
      <c r="G45" s="47">
        <v>0.25800000000000001</v>
      </c>
      <c r="H45" s="12">
        <f t="shared" si="16"/>
        <v>1.6</v>
      </c>
      <c r="I45" s="12" t="s">
        <v>12</v>
      </c>
      <c r="J45" s="48">
        <f t="shared" si="0"/>
        <v>1.6</v>
      </c>
      <c r="K45" s="12">
        <v>0</v>
      </c>
      <c r="L45" s="48">
        <f t="shared" si="1"/>
        <v>1.6</v>
      </c>
      <c r="M45" s="106">
        <f t="shared" si="2"/>
        <v>1.3420000000000001</v>
      </c>
      <c r="N45" s="106">
        <f t="shared" si="17"/>
        <v>1.3420000000000001</v>
      </c>
      <c r="O45" s="17" t="s">
        <v>24</v>
      </c>
      <c r="P45" s="16"/>
      <c r="Q45" s="18">
        <v>31</v>
      </c>
      <c r="R45" s="12" t="s">
        <v>199</v>
      </c>
      <c r="S45" s="15">
        <v>1.6</v>
      </c>
      <c r="T45" s="86">
        <f>0.022+0.01+0.024+0.016+0.0054+0.0183+0.0086-0.0371+0.0161-0.067</f>
        <v>1.6300000000000009E-2</v>
      </c>
      <c r="U45" s="79">
        <f t="shared" si="14"/>
        <v>0.27429999999999999</v>
      </c>
      <c r="V45" s="18">
        <f t="shared" si="13"/>
        <v>1.6</v>
      </c>
      <c r="W45" s="18" t="str">
        <f t="shared" si="10"/>
        <v>1 сутки</v>
      </c>
      <c r="X45" s="64">
        <f t="shared" si="5"/>
        <v>1.6</v>
      </c>
      <c r="Y45" s="18">
        <v>0</v>
      </c>
      <c r="Z45" s="66">
        <f t="shared" si="6"/>
        <v>1.6</v>
      </c>
      <c r="AA45" s="90">
        <f t="shared" si="7"/>
        <v>1.3257000000000001</v>
      </c>
      <c r="AB45" s="90">
        <f t="shared" si="15"/>
        <v>1.3257000000000001</v>
      </c>
      <c r="AC45" s="12" t="s">
        <v>24</v>
      </c>
    </row>
    <row r="46" spans="1:29" s="1" customFormat="1" ht="22.5" x14ac:dyDescent="0.2">
      <c r="A46" s="18">
        <v>32</v>
      </c>
      <c r="B46" s="12" t="s">
        <v>206</v>
      </c>
      <c r="C46" s="69">
        <v>1.6</v>
      </c>
      <c r="D46" s="69">
        <v>0.34499999999999997</v>
      </c>
      <c r="E46" s="69">
        <v>0.157</v>
      </c>
      <c r="F46" s="69"/>
      <c r="G46" s="47">
        <v>0.379</v>
      </c>
      <c r="H46" s="12">
        <f t="shared" si="16"/>
        <v>1.6</v>
      </c>
      <c r="I46" s="12" t="s">
        <v>12</v>
      </c>
      <c r="J46" s="48">
        <f t="shared" si="0"/>
        <v>1.6</v>
      </c>
      <c r="K46" s="12">
        <v>0</v>
      </c>
      <c r="L46" s="48">
        <f t="shared" si="1"/>
        <v>1.6</v>
      </c>
      <c r="M46" s="106">
        <f t="shared" si="2"/>
        <v>1.2210000000000001</v>
      </c>
      <c r="N46" s="106">
        <f t="shared" si="17"/>
        <v>1.2210000000000001</v>
      </c>
      <c r="O46" s="17" t="s">
        <v>24</v>
      </c>
      <c r="P46" s="16"/>
      <c r="Q46" s="18">
        <v>32</v>
      </c>
      <c r="R46" s="12" t="s">
        <v>206</v>
      </c>
      <c r="S46" s="15">
        <v>1.6</v>
      </c>
      <c r="T46" s="86">
        <f>0.005+0.005+0.007+0.005+0.0054+0.0048+0.0032+0.0065-0.0301-0.0065</f>
        <v>5.3000000000000018E-3</v>
      </c>
      <c r="U46" s="79">
        <f t="shared" si="14"/>
        <v>0.38430000000000003</v>
      </c>
      <c r="V46" s="18">
        <f t="shared" si="13"/>
        <v>1.6</v>
      </c>
      <c r="W46" s="18" t="str">
        <f t="shared" si="10"/>
        <v>1 сутки</v>
      </c>
      <c r="X46" s="64">
        <f t="shared" si="5"/>
        <v>1.6</v>
      </c>
      <c r="Y46" s="18">
        <v>0</v>
      </c>
      <c r="Z46" s="66">
        <f t="shared" si="6"/>
        <v>1.6</v>
      </c>
      <c r="AA46" s="90">
        <f t="shared" si="7"/>
        <v>1.2157</v>
      </c>
      <c r="AB46" s="90">
        <f t="shared" si="15"/>
        <v>1.2157</v>
      </c>
      <c r="AC46" s="12" t="s">
        <v>24</v>
      </c>
    </row>
    <row r="47" spans="1:29" s="1" customFormat="1" ht="22.5" x14ac:dyDescent="0.2">
      <c r="A47" s="18">
        <v>32</v>
      </c>
      <c r="B47" s="12" t="s">
        <v>207</v>
      </c>
      <c r="C47" s="69">
        <v>1.6</v>
      </c>
      <c r="D47" s="69">
        <v>0.03</v>
      </c>
      <c r="E47" s="69">
        <v>0.03</v>
      </c>
      <c r="F47" s="69"/>
      <c r="G47" s="47">
        <v>4.2000000000000003E-2</v>
      </c>
      <c r="H47" s="12">
        <f t="shared" si="16"/>
        <v>1.6</v>
      </c>
      <c r="I47" s="12" t="s">
        <v>12</v>
      </c>
      <c r="J47" s="48">
        <f t="shared" si="0"/>
        <v>1.6</v>
      </c>
      <c r="K47" s="12">
        <v>0</v>
      </c>
      <c r="L47" s="48">
        <f t="shared" si="1"/>
        <v>1.6</v>
      </c>
      <c r="M47" s="106">
        <f t="shared" si="2"/>
        <v>1.5580000000000001</v>
      </c>
      <c r="N47" s="106">
        <f t="shared" si="17"/>
        <v>1.5580000000000001</v>
      </c>
      <c r="O47" s="17" t="s">
        <v>24</v>
      </c>
      <c r="P47" s="16"/>
      <c r="Q47" s="18">
        <v>32</v>
      </c>
      <c r="R47" s="12" t="s">
        <v>207</v>
      </c>
      <c r="S47" s="15">
        <v>1.6</v>
      </c>
      <c r="T47" s="86">
        <v>0</v>
      </c>
      <c r="U47" s="79">
        <f t="shared" si="14"/>
        <v>4.2000000000000003E-2</v>
      </c>
      <c r="V47" s="18">
        <f t="shared" si="13"/>
        <v>1.6</v>
      </c>
      <c r="W47" s="18" t="str">
        <f t="shared" si="10"/>
        <v>1 сутки</v>
      </c>
      <c r="X47" s="64">
        <f t="shared" si="5"/>
        <v>1.6</v>
      </c>
      <c r="Y47" s="18">
        <v>0</v>
      </c>
      <c r="Z47" s="66">
        <f t="shared" si="6"/>
        <v>1.6</v>
      </c>
      <c r="AA47" s="90">
        <f t="shared" si="7"/>
        <v>1.5580000000000001</v>
      </c>
      <c r="AB47" s="90">
        <f t="shared" si="15"/>
        <v>1.5580000000000001</v>
      </c>
      <c r="AC47" s="12" t="s">
        <v>24</v>
      </c>
    </row>
    <row r="48" spans="1:29" s="1" customFormat="1" ht="22.5" x14ac:dyDescent="0.2">
      <c r="A48" s="18">
        <v>33</v>
      </c>
      <c r="B48" s="12" t="s">
        <v>210</v>
      </c>
      <c r="C48" s="69">
        <v>2.5</v>
      </c>
      <c r="D48" s="69">
        <v>0.51</v>
      </c>
      <c r="E48" s="69">
        <v>0.26400000000000001</v>
      </c>
      <c r="F48" s="69"/>
      <c r="G48" s="47">
        <v>0.57399999999999995</v>
      </c>
      <c r="H48" s="12">
        <f t="shared" si="16"/>
        <v>2.5</v>
      </c>
      <c r="I48" s="12" t="s">
        <v>12</v>
      </c>
      <c r="J48" s="48">
        <f t="shared" si="0"/>
        <v>2.5</v>
      </c>
      <c r="K48" s="12">
        <v>0</v>
      </c>
      <c r="L48" s="48">
        <f t="shared" si="1"/>
        <v>2.5</v>
      </c>
      <c r="M48" s="106">
        <f t="shared" si="2"/>
        <v>1.9260000000000002</v>
      </c>
      <c r="N48" s="106">
        <f t="shared" si="17"/>
        <v>1.9260000000000002</v>
      </c>
      <c r="O48" s="17" t="s">
        <v>24</v>
      </c>
      <c r="P48" s="16"/>
      <c r="Q48" s="18">
        <v>33</v>
      </c>
      <c r="R48" s="12" t="s">
        <v>210</v>
      </c>
      <c r="S48" s="15">
        <v>2.5</v>
      </c>
      <c r="T48" s="86">
        <f>0.025+0.009+0.016+0.065+0.0043-0.1011+0.0155+0.0054+0.080639+0.0075+0.0108+0.0075+0.0161+0.0068+0.0086-0.1301+0.0086</f>
        <v>5.5539000000000033E-2</v>
      </c>
      <c r="U48" s="79">
        <f t="shared" si="14"/>
        <v>0.62953899999999996</v>
      </c>
      <c r="V48" s="18">
        <f t="shared" si="13"/>
        <v>2.5</v>
      </c>
      <c r="W48" s="18" t="str">
        <f t="shared" si="10"/>
        <v>1 сутки</v>
      </c>
      <c r="X48" s="64">
        <f t="shared" si="5"/>
        <v>2.5</v>
      </c>
      <c r="Y48" s="18">
        <v>0</v>
      </c>
      <c r="Z48" s="66">
        <f t="shared" si="6"/>
        <v>2.5</v>
      </c>
      <c r="AA48" s="90">
        <f t="shared" si="7"/>
        <v>1.8704610000000002</v>
      </c>
      <c r="AB48" s="90">
        <f t="shared" si="15"/>
        <v>1.8704610000000002</v>
      </c>
      <c r="AC48" s="12" t="s">
        <v>24</v>
      </c>
    </row>
    <row r="49" spans="1:29" s="1" customFormat="1" ht="22.5" x14ac:dyDescent="0.2">
      <c r="A49" s="169">
        <v>34</v>
      </c>
      <c r="B49" s="25" t="s">
        <v>68</v>
      </c>
      <c r="C49" s="63" t="s">
        <v>37</v>
      </c>
      <c r="D49" s="63"/>
      <c r="E49" s="63"/>
      <c r="F49" s="63"/>
      <c r="G49" s="48">
        <f>G50+G51</f>
        <v>18.902999999999999</v>
      </c>
      <c r="H49" s="25">
        <f>H50+H51</f>
        <v>0</v>
      </c>
      <c r="I49" s="25">
        <v>0</v>
      </c>
      <c r="J49" s="26">
        <f t="shared" ref="J49:J71" si="18">G49-H49</f>
        <v>18.902999999999999</v>
      </c>
      <c r="K49" s="25">
        <v>0</v>
      </c>
      <c r="L49" s="24">
        <f>1.05*40</f>
        <v>42</v>
      </c>
      <c r="M49" s="5">
        <f>L49-J49-K49</f>
        <v>23.097000000000001</v>
      </c>
      <c r="N49" s="157">
        <f>MIN(M49:M51)</f>
        <v>23.097000000000001</v>
      </c>
      <c r="O49" s="158" t="s">
        <v>24</v>
      </c>
      <c r="P49" s="16"/>
      <c r="Q49" s="169">
        <v>34</v>
      </c>
      <c r="R49" s="25" t="s">
        <v>68</v>
      </c>
      <c r="S49" s="28" t="s">
        <v>37</v>
      </c>
      <c r="T49" s="85">
        <f>T51</f>
        <v>1.4100000000000001E-2</v>
      </c>
      <c r="U49" s="47">
        <f>U50+U51</f>
        <v>18.917099999999998</v>
      </c>
      <c r="V49" s="25">
        <f>V50+V51</f>
        <v>0</v>
      </c>
      <c r="W49" s="25">
        <v>0</v>
      </c>
      <c r="X49" s="26">
        <f t="shared" ref="X49:X71" si="19">U49-V49</f>
        <v>18.917099999999998</v>
      </c>
      <c r="Y49" s="25">
        <v>0</v>
      </c>
      <c r="Z49" s="24">
        <f>1.05*40</f>
        <v>42</v>
      </c>
      <c r="AA49" s="106">
        <f>Z49-X49-Y49</f>
        <v>23.082900000000002</v>
      </c>
      <c r="AB49" s="129">
        <f>MIN(AA49:AA51)</f>
        <v>23.082900000000002</v>
      </c>
      <c r="AC49" s="158" t="s">
        <v>24</v>
      </c>
    </row>
    <row r="50" spans="1:29" s="1" customFormat="1" ht="24" hidden="1" customHeight="1" x14ac:dyDescent="0.2">
      <c r="A50" s="184"/>
      <c r="B50" s="27" t="s">
        <v>56</v>
      </c>
      <c r="C50" s="63" t="s">
        <v>37</v>
      </c>
      <c r="D50" s="63">
        <v>2.52</v>
      </c>
      <c r="E50" s="63">
        <v>1.2</v>
      </c>
      <c r="F50" s="63"/>
      <c r="G50" s="48">
        <v>2.7959999999999998</v>
      </c>
      <c r="H50" s="25">
        <v>0</v>
      </c>
      <c r="I50" s="25">
        <v>0</v>
      </c>
      <c r="J50" s="26">
        <f t="shared" si="18"/>
        <v>2.7959999999999998</v>
      </c>
      <c r="K50" s="25">
        <v>0</v>
      </c>
      <c r="L50" s="24">
        <f>1.05*40</f>
        <v>42</v>
      </c>
      <c r="M50" s="5">
        <f>L50-G50</f>
        <v>39.204000000000001</v>
      </c>
      <c r="N50" s="179"/>
      <c r="O50" s="159"/>
      <c r="P50" s="16"/>
      <c r="Q50" s="184"/>
      <c r="R50" s="27" t="s">
        <v>56</v>
      </c>
      <c r="S50" s="28" t="s">
        <v>37</v>
      </c>
      <c r="T50" s="85"/>
      <c r="U50" s="47">
        <f t="shared" ref="U50:U56" si="20">T50+G50</f>
        <v>2.7959999999999998</v>
      </c>
      <c r="V50" s="25">
        <v>0</v>
      </c>
      <c r="W50" s="25">
        <v>0</v>
      </c>
      <c r="X50" s="26">
        <f t="shared" si="19"/>
        <v>2.7959999999999998</v>
      </c>
      <c r="Y50" s="25">
        <v>0</v>
      </c>
      <c r="Z50" s="24">
        <f>1.05*40</f>
        <v>42</v>
      </c>
      <c r="AA50" s="106">
        <f>Z50-U50</f>
        <v>39.204000000000001</v>
      </c>
      <c r="AB50" s="132"/>
      <c r="AC50" s="167"/>
    </row>
    <row r="51" spans="1:29" s="1" customFormat="1" ht="21.75" hidden="1" customHeight="1" x14ac:dyDescent="0.2">
      <c r="A51" s="185"/>
      <c r="B51" s="27" t="s">
        <v>44</v>
      </c>
      <c r="C51" s="63" t="s">
        <v>37</v>
      </c>
      <c r="D51" s="63"/>
      <c r="E51" s="63"/>
      <c r="F51" s="63"/>
      <c r="G51" s="48">
        <v>16.106999999999999</v>
      </c>
      <c r="H51" s="25">
        <v>0</v>
      </c>
      <c r="I51" s="25">
        <v>0</v>
      </c>
      <c r="J51" s="26">
        <f t="shared" si="18"/>
        <v>16.106999999999999</v>
      </c>
      <c r="K51" s="25">
        <v>0</v>
      </c>
      <c r="L51" s="24">
        <f>1.05*40</f>
        <v>42</v>
      </c>
      <c r="M51" s="5">
        <f t="shared" ref="M51:M57" si="21">L51-J51-K51</f>
        <v>25.893000000000001</v>
      </c>
      <c r="N51" s="180"/>
      <c r="O51" s="160"/>
      <c r="P51" s="16"/>
      <c r="Q51" s="185"/>
      <c r="R51" s="27" t="s">
        <v>44</v>
      </c>
      <c r="S51" s="28" t="s">
        <v>37</v>
      </c>
      <c r="T51" s="85">
        <f>0.005+0.009+0.005+0.0048-0.0048+0.0024-0.0048+0.0008+0.0161-0.0194</f>
        <v>1.4100000000000001E-2</v>
      </c>
      <c r="U51" s="47">
        <f t="shared" si="20"/>
        <v>16.121099999999998</v>
      </c>
      <c r="V51" s="25">
        <v>0</v>
      </c>
      <c r="W51" s="25">
        <v>0</v>
      </c>
      <c r="X51" s="26">
        <f t="shared" si="19"/>
        <v>16.121099999999998</v>
      </c>
      <c r="Y51" s="25">
        <v>0</v>
      </c>
      <c r="Z51" s="24">
        <f>1.05*40</f>
        <v>42</v>
      </c>
      <c r="AA51" s="106">
        <f t="shared" ref="AA51:AA57" si="22">Z51-X51-Y51</f>
        <v>25.878900000000002</v>
      </c>
      <c r="AB51" s="133"/>
      <c r="AC51" s="168"/>
    </row>
    <row r="52" spans="1:29" s="1" customFormat="1" ht="22.5" x14ac:dyDescent="0.2">
      <c r="A52" s="18">
        <v>35</v>
      </c>
      <c r="B52" s="65" t="s">
        <v>69</v>
      </c>
      <c r="C52" s="63" t="s">
        <v>29</v>
      </c>
      <c r="D52" s="63">
        <v>0.75</v>
      </c>
      <c r="E52" s="63">
        <v>0.17</v>
      </c>
      <c r="F52" s="63"/>
      <c r="G52" s="48">
        <v>0.76900000000000002</v>
      </c>
      <c r="H52" s="25">
        <v>0</v>
      </c>
      <c r="I52" s="25">
        <v>0</v>
      </c>
      <c r="J52" s="26">
        <f t="shared" si="18"/>
        <v>0.76900000000000002</v>
      </c>
      <c r="K52" s="25">
        <v>0</v>
      </c>
      <c r="L52" s="24">
        <f>1.05*6.3</f>
        <v>6.6150000000000002</v>
      </c>
      <c r="M52" s="6">
        <f t="shared" si="21"/>
        <v>5.8460000000000001</v>
      </c>
      <c r="N52" s="48">
        <f>M52</f>
        <v>5.8460000000000001</v>
      </c>
      <c r="O52" s="17" t="s">
        <v>24</v>
      </c>
      <c r="P52" s="16"/>
      <c r="Q52" s="18">
        <v>35</v>
      </c>
      <c r="R52" s="25" t="s">
        <v>69</v>
      </c>
      <c r="S52" s="28" t="s">
        <v>29</v>
      </c>
      <c r="T52" s="85">
        <f>0.003+0.005+0.005+0.0376+0.0097+0.0032+0.0215+0.0194+0.0186+0.0444+0.0151+0.0161-0.0892-0.0161</f>
        <v>9.3299999999999994E-2</v>
      </c>
      <c r="U52" s="47">
        <f t="shared" si="20"/>
        <v>0.86230000000000007</v>
      </c>
      <c r="V52" s="25">
        <v>0</v>
      </c>
      <c r="W52" s="25">
        <v>0</v>
      </c>
      <c r="X52" s="26">
        <f t="shared" si="19"/>
        <v>0.86230000000000007</v>
      </c>
      <c r="Y52" s="25">
        <v>0</v>
      </c>
      <c r="Z52" s="24">
        <f>1.05*6.3</f>
        <v>6.6150000000000002</v>
      </c>
      <c r="AA52" s="6">
        <f t="shared" si="22"/>
        <v>5.7526999999999999</v>
      </c>
      <c r="AB52" s="48">
        <f>AA52</f>
        <v>5.7526999999999999</v>
      </c>
      <c r="AC52" s="12" t="s">
        <v>24</v>
      </c>
    </row>
    <row r="53" spans="1:29" s="37" customFormat="1" ht="22.5" x14ac:dyDescent="0.2">
      <c r="A53" s="18">
        <v>36</v>
      </c>
      <c r="B53" s="31" t="s">
        <v>70</v>
      </c>
      <c r="C53" s="32" t="s">
        <v>47</v>
      </c>
      <c r="D53" s="32">
        <v>28.46</v>
      </c>
      <c r="E53" s="32">
        <v>11.1</v>
      </c>
      <c r="F53" s="32"/>
      <c r="G53" s="49">
        <v>30.545999999999999</v>
      </c>
      <c r="H53" s="31">
        <v>0</v>
      </c>
      <c r="I53" s="31">
        <v>0</v>
      </c>
      <c r="J53" s="29">
        <f t="shared" si="18"/>
        <v>30.545999999999999</v>
      </c>
      <c r="K53" s="31">
        <v>0</v>
      </c>
      <c r="L53" s="30">
        <f>1.05*25</f>
        <v>26.25</v>
      </c>
      <c r="M53" s="4">
        <f t="shared" si="21"/>
        <v>-4.2959999999999994</v>
      </c>
      <c r="N53" s="49">
        <f>M53</f>
        <v>-4.2959999999999994</v>
      </c>
      <c r="O53" s="19" t="s">
        <v>25</v>
      </c>
      <c r="P53" s="36"/>
      <c r="Q53" s="22">
        <v>36</v>
      </c>
      <c r="R53" s="31" t="s">
        <v>70</v>
      </c>
      <c r="S53" s="32" t="s">
        <v>47</v>
      </c>
      <c r="T53" s="87">
        <f>3.182+0.629+0.2021+0.5215+0.204+0.2451+0.2043-0.2451</f>
        <v>4.942899999999999</v>
      </c>
      <c r="U53" s="51">
        <f t="shared" si="20"/>
        <v>35.488900000000001</v>
      </c>
      <c r="V53" s="31">
        <v>0</v>
      </c>
      <c r="W53" s="31">
        <v>0</v>
      </c>
      <c r="X53" s="29">
        <f t="shared" si="19"/>
        <v>35.488900000000001</v>
      </c>
      <c r="Y53" s="31">
        <v>0</v>
      </c>
      <c r="Z53" s="30">
        <f>1.05*25</f>
        <v>26.25</v>
      </c>
      <c r="AA53" s="45">
        <f>Z53-X53-Y53</f>
        <v>-9.238900000000001</v>
      </c>
      <c r="AB53" s="49">
        <f>AA53</f>
        <v>-9.238900000000001</v>
      </c>
      <c r="AC53" s="22" t="s">
        <v>25</v>
      </c>
    </row>
    <row r="54" spans="1:29" s="1" customFormat="1" ht="22.5" x14ac:dyDescent="0.2">
      <c r="A54" s="18">
        <v>37</v>
      </c>
      <c r="B54" s="65" t="s">
        <v>71</v>
      </c>
      <c r="C54" s="63" t="s">
        <v>29</v>
      </c>
      <c r="D54" s="63">
        <v>2.484</v>
      </c>
      <c r="E54" s="63">
        <v>0.59399999999999997</v>
      </c>
      <c r="F54" s="63"/>
      <c r="G54" s="48">
        <v>2.5630000000000002</v>
      </c>
      <c r="H54" s="25">
        <v>0</v>
      </c>
      <c r="I54" s="25">
        <v>0</v>
      </c>
      <c r="J54" s="26">
        <f t="shared" si="18"/>
        <v>2.5630000000000002</v>
      </c>
      <c r="K54" s="25">
        <v>0</v>
      </c>
      <c r="L54" s="24">
        <f>1.05*6.3</f>
        <v>6.6150000000000002</v>
      </c>
      <c r="M54" s="6">
        <f t="shared" si="21"/>
        <v>4.0519999999999996</v>
      </c>
      <c r="N54" s="48">
        <f>M54</f>
        <v>4.0519999999999996</v>
      </c>
      <c r="O54" s="17" t="s">
        <v>24</v>
      </c>
      <c r="P54" s="16"/>
      <c r="Q54" s="18">
        <v>37</v>
      </c>
      <c r="R54" s="25" t="s">
        <v>71</v>
      </c>
      <c r="S54" s="28" t="s">
        <v>29</v>
      </c>
      <c r="T54" s="85">
        <f>0.811+0.005+0.026+0.016+0.005-0.0349+0.0161+0.0161+0.0054+1.0827+0.0215+0.0054+0.010752-0.1925+0.0075+0.0054+0.0914+0.3064+0.0065+0.0161+0.0065+0.0086-0.1505+0.0086+0.1624</f>
        <v>2.2624519999999997</v>
      </c>
      <c r="U54" s="47">
        <f t="shared" si="20"/>
        <v>4.8254520000000003</v>
      </c>
      <c r="V54" s="25">
        <v>0</v>
      </c>
      <c r="W54" s="25">
        <v>0</v>
      </c>
      <c r="X54" s="26">
        <f t="shared" si="19"/>
        <v>4.8254520000000003</v>
      </c>
      <c r="Y54" s="25">
        <v>0</v>
      </c>
      <c r="Z54" s="24">
        <f>1.05*6.3</f>
        <v>6.6150000000000002</v>
      </c>
      <c r="AA54" s="6">
        <f t="shared" si="22"/>
        <v>1.7895479999999999</v>
      </c>
      <c r="AB54" s="48">
        <f>AA54</f>
        <v>1.7895479999999999</v>
      </c>
      <c r="AC54" s="12" t="s">
        <v>24</v>
      </c>
    </row>
    <row r="55" spans="1:29" s="1" customFormat="1" ht="22.5" x14ac:dyDescent="0.2">
      <c r="A55" s="18">
        <v>38</v>
      </c>
      <c r="B55" s="31" t="s">
        <v>72</v>
      </c>
      <c r="C55" s="32" t="s">
        <v>30</v>
      </c>
      <c r="D55" s="32">
        <v>20.088000000000001</v>
      </c>
      <c r="E55" s="32">
        <v>4.806</v>
      </c>
      <c r="F55" s="32"/>
      <c r="G55" s="49">
        <v>20.655000000000001</v>
      </c>
      <c r="H55" s="31">
        <v>1.5</v>
      </c>
      <c r="I55" s="31" t="s">
        <v>59</v>
      </c>
      <c r="J55" s="29">
        <f t="shared" si="18"/>
        <v>19.155000000000001</v>
      </c>
      <c r="K55" s="31">
        <v>0</v>
      </c>
      <c r="L55" s="30">
        <f>1.05*16</f>
        <v>16.8</v>
      </c>
      <c r="M55" s="4">
        <f t="shared" si="21"/>
        <v>-2.3550000000000004</v>
      </c>
      <c r="N55" s="49">
        <f>M55</f>
        <v>-2.3550000000000004</v>
      </c>
      <c r="O55" s="19" t="s">
        <v>25</v>
      </c>
      <c r="P55" s="36"/>
      <c r="Q55" s="22">
        <v>38</v>
      </c>
      <c r="R55" s="31" t="s">
        <v>72</v>
      </c>
      <c r="S55" s="32" t="s">
        <v>30</v>
      </c>
      <c r="T55" s="87">
        <f>0.806+0.2421+0.3387+1.29+1.43+0.285+3.7847+0.5956+0.5462-1.406</f>
        <v>7.912300000000001</v>
      </c>
      <c r="U55" s="51">
        <f t="shared" si="20"/>
        <v>28.567300000000003</v>
      </c>
      <c r="V55" s="31">
        <v>1.5</v>
      </c>
      <c r="W55" s="31" t="s">
        <v>59</v>
      </c>
      <c r="X55" s="29">
        <f t="shared" si="19"/>
        <v>27.067300000000003</v>
      </c>
      <c r="Y55" s="31">
        <v>0</v>
      </c>
      <c r="Z55" s="30">
        <f>1.05*16</f>
        <v>16.8</v>
      </c>
      <c r="AA55" s="45">
        <f t="shared" si="22"/>
        <v>-10.267300000000002</v>
      </c>
      <c r="AB55" s="49">
        <f>AA55</f>
        <v>-10.267300000000002</v>
      </c>
      <c r="AC55" s="22" t="s">
        <v>25</v>
      </c>
    </row>
    <row r="56" spans="1:29" s="100" customFormat="1" ht="22.5" x14ac:dyDescent="0.2">
      <c r="A56" s="65">
        <v>39</v>
      </c>
      <c r="B56" s="31" t="s">
        <v>73</v>
      </c>
      <c r="C56" s="32" t="s">
        <v>45</v>
      </c>
      <c r="D56" s="32">
        <v>4.82</v>
      </c>
      <c r="E56" s="32">
        <v>2.0099999999999998</v>
      </c>
      <c r="F56" s="32"/>
      <c r="G56" s="49">
        <v>5.2220000000000004</v>
      </c>
      <c r="H56" s="31">
        <v>0</v>
      </c>
      <c r="I56" s="31">
        <v>0</v>
      </c>
      <c r="J56" s="29">
        <f t="shared" si="18"/>
        <v>5.2220000000000004</v>
      </c>
      <c r="K56" s="31">
        <v>0</v>
      </c>
      <c r="L56" s="30">
        <f>1.05*4</f>
        <v>4.2</v>
      </c>
      <c r="M56" s="45">
        <f t="shared" si="21"/>
        <v>-1.0220000000000002</v>
      </c>
      <c r="N56" s="49">
        <f>M56</f>
        <v>-1.0220000000000002</v>
      </c>
      <c r="O56" s="31" t="s">
        <v>25</v>
      </c>
      <c r="P56" s="98"/>
      <c r="Q56" s="31">
        <v>39</v>
      </c>
      <c r="R56" s="31" t="s">
        <v>73</v>
      </c>
      <c r="S56" s="32" t="s">
        <v>45</v>
      </c>
      <c r="T56" s="87">
        <f>0.412+0.096+0.016+0.03+0.022+0.037+0.046+0.06+0.069+0.062+0.017+0.027+0.4785+0.0581+0.3871-0.4422+0.0097+0.4833+0.0855+0.0564+0.3473+0.166+0.0667+0.0441+0.1456+0.0489+0.048383+0.0296-0.7682+0.1667+0.0446+0.0376+0.0844+0.0409+0.0886+0.1658+0.1212+0.1334+0.0956+0.153-0.7297+0.153+0.1516</f>
        <v>2.8454830000000002</v>
      </c>
      <c r="U56" s="49">
        <f t="shared" si="20"/>
        <v>8.0674830000000011</v>
      </c>
      <c r="V56" s="31">
        <v>0</v>
      </c>
      <c r="W56" s="31">
        <v>0</v>
      </c>
      <c r="X56" s="29">
        <f t="shared" si="19"/>
        <v>8.0674830000000011</v>
      </c>
      <c r="Y56" s="31">
        <v>0</v>
      </c>
      <c r="Z56" s="30">
        <f>1.05*4</f>
        <v>4.2</v>
      </c>
      <c r="AA56" s="99">
        <f t="shared" si="22"/>
        <v>-3.8674830000000009</v>
      </c>
      <c r="AB56" s="49">
        <f>AA56</f>
        <v>-3.8674830000000009</v>
      </c>
      <c r="AC56" s="31" t="s">
        <v>25</v>
      </c>
    </row>
    <row r="57" spans="1:29" s="100" customFormat="1" ht="26.25" customHeight="1" x14ac:dyDescent="0.2">
      <c r="A57" s="202">
        <v>40</v>
      </c>
      <c r="B57" s="31" t="s">
        <v>74</v>
      </c>
      <c r="C57" s="32" t="s">
        <v>60</v>
      </c>
      <c r="D57" s="32">
        <f>D58+D59</f>
        <v>42</v>
      </c>
      <c r="E57" s="32">
        <f>E58+E59</f>
        <v>15.83</v>
      </c>
      <c r="F57" s="32"/>
      <c r="G57" s="32">
        <f>G58+G59</f>
        <v>45.007999999999996</v>
      </c>
      <c r="H57" s="31">
        <f>H58+H59</f>
        <v>0</v>
      </c>
      <c r="I57" s="31">
        <v>0</v>
      </c>
      <c r="J57" s="30">
        <f t="shared" si="18"/>
        <v>45.007999999999996</v>
      </c>
      <c r="K57" s="31">
        <v>0</v>
      </c>
      <c r="L57" s="30">
        <f>1.05*40</f>
        <v>42</v>
      </c>
      <c r="M57" s="3">
        <f t="shared" si="21"/>
        <v>-3.0079999999999956</v>
      </c>
      <c r="N57" s="172">
        <f>MIN(M57:M59)</f>
        <v>-3.0079999999999956</v>
      </c>
      <c r="O57" s="176" t="s">
        <v>25</v>
      </c>
      <c r="P57" s="98"/>
      <c r="Q57" s="176">
        <v>40</v>
      </c>
      <c r="R57" s="31" t="s">
        <v>74</v>
      </c>
      <c r="S57" s="32" t="s">
        <v>60</v>
      </c>
      <c r="T57" s="87">
        <f>T58+T59</f>
        <v>12.247421000000001</v>
      </c>
      <c r="U57" s="49">
        <f>U58+U59</f>
        <v>57.255420999999998</v>
      </c>
      <c r="V57" s="31">
        <f>V58+V59</f>
        <v>0</v>
      </c>
      <c r="W57" s="31">
        <v>0</v>
      </c>
      <c r="X57" s="29">
        <f t="shared" si="19"/>
        <v>57.255420999999998</v>
      </c>
      <c r="Y57" s="31">
        <v>0</v>
      </c>
      <c r="Z57" s="30">
        <f>1.05*40</f>
        <v>42</v>
      </c>
      <c r="AA57" s="107">
        <f t="shared" si="22"/>
        <v>-15.255420999999998</v>
      </c>
      <c r="AB57" s="130">
        <f>MIN(AA57:AA59)</f>
        <v>-15.255420999999998</v>
      </c>
      <c r="AC57" s="176" t="s">
        <v>25</v>
      </c>
    </row>
    <row r="58" spans="1:29" s="100" customFormat="1" ht="21.75" hidden="1" customHeight="1" x14ac:dyDescent="0.2">
      <c r="A58" s="203"/>
      <c r="B58" s="35" t="s">
        <v>56</v>
      </c>
      <c r="C58" s="32" t="s">
        <v>60</v>
      </c>
      <c r="D58" s="32">
        <f>D141+D139</f>
        <v>22.490000000000002</v>
      </c>
      <c r="E58" s="32">
        <f>E141+E139</f>
        <v>9.08</v>
      </c>
      <c r="F58" s="32"/>
      <c r="G58" s="49">
        <v>24.363</v>
      </c>
      <c r="H58" s="31">
        <v>0</v>
      </c>
      <c r="I58" s="31">
        <v>0</v>
      </c>
      <c r="J58" s="30">
        <f t="shared" si="18"/>
        <v>24.363</v>
      </c>
      <c r="K58" s="31">
        <v>0</v>
      </c>
      <c r="L58" s="30">
        <f>1.05*40</f>
        <v>42</v>
      </c>
      <c r="M58" s="3">
        <f>L58-G58</f>
        <v>17.637</v>
      </c>
      <c r="N58" s="181"/>
      <c r="O58" s="195"/>
      <c r="P58" s="98"/>
      <c r="Q58" s="177"/>
      <c r="R58" s="35" t="s">
        <v>56</v>
      </c>
      <c r="S58" s="32" t="s">
        <v>60</v>
      </c>
      <c r="T58" s="87"/>
      <c r="U58" s="49">
        <f>T58+G58</f>
        <v>24.363</v>
      </c>
      <c r="V58" s="31">
        <v>0</v>
      </c>
      <c r="W58" s="31">
        <v>0</v>
      </c>
      <c r="X58" s="29">
        <f t="shared" si="19"/>
        <v>24.363</v>
      </c>
      <c r="Y58" s="31">
        <v>0</v>
      </c>
      <c r="Z58" s="30">
        <f>1.05*40</f>
        <v>42</v>
      </c>
      <c r="AA58" s="3">
        <f>Z58-U58</f>
        <v>17.637</v>
      </c>
      <c r="AB58" s="137"/>
      <c r="AC58" s="177"/>
    </row>
    <row r="59" spans="1:29" s="100" customFormat="1" ht="24.75" hidden="1" customHeight="1" x14ac:dyDescent="0.2">
      <c r="A59" s="204"/>
      <c r="B59" s="35" t="s">
        <v>44</v>
      </c>
      <c r="C59" s="32" t="s">
        <v>60</v>
      </c>
      <c r="D59" s="32">
        <v>19.510000000000002</v>
      </c>
      <c r="E59" s="32">
        <v>6.75</v>
      </c>
      <c r="F59" s="32"/>
      <c r="G59" s="49">
        <v>20.645</v>
      </c>
      <c r="H59" s="31">
        <v>0</v>
      </c>
      <c r="I59" s="31">
        <v>0</v>
      </c>
      <c r="J59" s="30">
        <f t="shared" si="18"/>
        <v>20.645</v>
      </c>
      <c r="K59" s="31">
        <v>0</v>
      </c>
      <c r="L59" s="30">
        <f>1.05*40</f>
        <v>42</v>
      </c>
      <c r="M59" s="3">
        <f>L59-J59-K59</f>
        <v>21.355</v>
      </c>
      <c r="N59" s="182"/>
      <c r="O59" s="196"/>
      <c r="P59" s="98"/>
      <c r="Q59" s="178"/>
      <c r="R59" s="35" t="s">
        <v>44</v>
      </c>
      <c r="S59" s="32" t="s">
        <v>60</v>
      </c>
      <c r="T59" s="87">
        <f>3.226+0.267+0.161+0.188-0.7956+0.4301+1.6061+0.5376+0.1236+3.2757+0.698871-0.00215+0.2421+2.2428+0.6989-0.6526</f>
        <v>12.247421000000001</v>
      </c>
      <c r="U59" s="49">
        <f>T59+G59</f>
        <v>32.892420999999999</v>
      </c>
      <c r="V59" s="31">
        <v>0</v>
      </c>
      <c r="W59" s="31">
        <v>0</v>
      </c>
      <c r="X59" s="29">
        <f t="shared" si="19"/>
        <v>32.892420999999999</v>
      </c>
      <c r="Y59" s="31">
        <v>0</v>
      </c>
      <c r="Z59" s="30">
        <f>1.05*40</f>
        <v>42</v>
      </c>
      <c r="AA59" s="107">
        <f>Z59-X59-Y59</f>
        <v>9.1075790000000012</v>
      </c>
      <c r="AB59" s="138"/>
      <c r="AC59" s="178"/>
    </row>
    <row r="60" spans="1:29" s="1" customFormat="1" ht="22.5" x14ac:dyDescent="0.2">
      <c r="A60" s="169">
        <v>41</v>
      </c>
      <c r="B60" s="25" t="s">
        <v>75</v>
      </c>
      <c r="C60" s="63" t="s">
        <v>30</v>
      </c>
      <c r="D60" s="63">
        <v>9.2309999999999999</v>
      </c>
      <c r="E60" s="63">
        <v>3.6419999999999999</v>
      </c>
      <c r="F60" s="63"/>
      <c r="G60" s="63">
        <v>9.9499999999999993</v>
      </c>
      <c r="H60" s="25">
        <f>H61+H62</f>
        <v>0</v>
      </c>
      <c r="I60" s="25">
        <v>0</v>
      </c>
      <c r="J60" s="26">
        <f t="shared" si="18"/>
        <v>9.9499999999999993</v>
      </c>
      <c r="K60" s="25">
        <v>0</v>
      </c>
      <c r="L60" s="24">
        <f>1.05*16</f>
        <v>16.8</v>
      </c>
      <c r="M60" s="5">
        <f>L60-J60-K60</f>
        <v>6.8500000000000014</v>
      </c>
      <c r="N60" s="157">
        <f>MIN(M60:M62)</f>
        <v>6.8500000000000014</v>
      </c>
      <c r="O60" s="158" t="s">
        <v>24</v>
      </c>
      <c r="P60" s="16"/>
      <c r="Q60" s="169">
        <v>41</v>
      </c>
      <c r="R60" s="25" t="s">
        <v>75</v>
      </c>
      <c r="S60" s="28" t="s">
        <v>30</v>
      </c>
      <c r="T60" s="85">
        <f>T61+T62</f>
        <v>5.7800000000000004E-2</v>
      </c>
      <c r="U60" s="47">
        <f>U61+U62</f>
        <v>10.0078</v>
      </c>
      <c r="V60" s="25">
        <f>V61+V62</f>
        <v>0</v>
      </c>
      <c r="W60" s="25">
        <v>0</v>
      </c>
      <c r="X60" s="26">
        <f t="shared" si="19"/>
        <v>10.0078</v>
      </c>
      <c r="Y60" s="25">
        <v>0</v>
      </c>
      <c r="Z60" s="24">
        <f>1.05*16</f>
        <v>16.8</v>
      </c>
      <c r="AA60" s="5">
        <f>Z60-X60-Y60</f>
        <v>6.7922000000000011</v>
      </c>
      <c r="AB60" s="129">
        <f>MIN(AA60:AA62)</f>
        <v>6.7922000000000011</v>
      </c>
      <c r="AC60" s="158" t="s">
        <v>24</v>
      </c>
    </row>
    <row r="61" spans="1:29" s="1" customFormat="1" ht="24.75" hidden="1" customHeight="1" x14ac:dyDescent="0.2">
      <c r="A61" s="170"/>
      <c r="B61" s="27" t="s">
        <v>56</v>
      </c>
      <c r="C61" s="63" t="s">
        <v>30</v>
      </c>
      <c r="D61" s="63">
        <f>D40+D165+D159+D26+D162+D35</f>
        <v>5.4710000000000001</v>
      </c>
      <c r="E61" s="63">
        <f>E40+E165+E159+E26+E162+E35</f>
        <v>2.1020000000000003</v>
      </c>
      <c r="F61" s="63"/>
      <c r="G61" s="63">
        <f>G40+G165+G159+G26+G162+G35</f>
        <v>5.8870000000000005</v>
      </c>
      <c r="H61" s="25">
        <v>0</v>
      </c>
      <c r="I61" s="25">
        <v>0</v>
      </c>
      <c r="J61" s="26">
        <f t="shared" si="18"/>
        <v>5.8870000000000005</v>
      </c>
      <c r="K61" s="25">
        <v>0</v>
      </c>
      <c r="L61" s="24">
        <f>1.05*16</f>
        <v>16.8</v>
      </c>
      <c r="M61" s="5">
        <f>L61-G61</f>
        <v>10.913</v>
      </c>
      <c r="N61" s="179"/>
      <c r="O61" s="159"/>
      <c r="P61" s="16"/>
      <c r="Q61" s="170"/>
      <c r="R61" s="27" t="s">
        <v>56</v>
      </c>
      <c r="S61" s="28" t="s">
        <v>30</v>
      </c>
      <c r="T61" s="85"/>
      <c r="U61" s="47">
        <f>T61+G61</f>
        <v>5.8870000000000005</v>
      </c>
      <c r="V61" s="25">
        <v>0</v>
      </c>
      <c r="W61" s="25">
        <v>0</v>
      </c>
      <c r="X61" s="26">
        <f t="shared" si="19"/>
        <v>5.8870000000000005</v>
      </c>
      <c r="Y61" s="25">
        <v>0</v>
      </c>
      <c r="Z61" s="24">
        <f>1.05*16</f>
        <v>16.8</v>
      </c>
      <c r="AA61" s="5">
        <f>Z61-U61</f>
        <v>10.913</v>
      </c>
      <c r="AB61" s="132"/>
      <c r="AC61" s="167"/>
    </row>
    <row r="62" spans="1:29" s="1" customFormat="1" ht="22.5" hidden="1" customHeight="1" x14ac:dyDescent="0.2">
      <c r="A62" s="171"/>
      <c r="B62" s="27" t="s">
        <v>44</v>
      </c>
      <c r="C62" s="63" t="s">
        <v>30</v>
      </c>
      <c r="D62" s="63">
        <v>3.76</v>
      </c>
      <c r="E62" s="63">
        <v>1.54</v>
      </c>
      <c r="F62" s="63"/>
      <c r="G62" s="48">
        <v>4.0629999999999997</v>
      </c>
      <c r="H62" s="25">
        <v>0</v>
      </c>
      <c r="I62" s="25">
        <v>0</v>
      </c>
      <c r="J62" s="26">
        <f t="shared" si="18"/>
        <v>4.0629999999999997</v>
      </c>
      <c r="K62" s="25">
        <v>0</v>
      </c>
      <c r="L62" s="24">
        <f>1.05*16</f>
        <v>16.8</v>
      </c>
      <c r="M62" s="5">
        <f>L62-J62-K62</f>
        <v>12.737000000000002</v>
      </c>
      <c r="N62" s="180"/>
      <c r="O62" s="160"/>
      <c r="P62" s="16"/>
      <c r="Q62" s="171"/>
      <c r="R62" s="27" t="s">
        <v>44</v>
      </c>
      <c r="S62" s="28" t="s">
        <v>30</v>
      </c>
      <c r="T62" s="85">
        <f>0.04+0.01+0.005+0.003+0.004+0.0199+0.0102+0.0075-0.0446+0.0102+0.0349+0.0054+0.005+0.0046-0.0403+0.0129+0.0161+0.0011+0.0032+0.0059-0.0562</f>
        <v>5.7800000000000004E-2</v>
      </c>
      <c r="U62" s="47">
        <f>T62+G62</f>
        <v>4.1208</v>
      </c>
      <c r="V62" s="25">
        <v>0</v>
      </c>
      <c r="W62" s="25">
        <v>0</v>
      </c>
      <c r="X62" s="26">
        <f t="shared" si="19"/>
        <v>4.1208</v>
      </c>
      <c r="Y62" s="25">
        <v>0</v>
      </c>
      <c r="Z62" s="24">
        <f>1.05*16</f>
        <v>16.8</v>
      </c>
      <c r="AA62" s="106">
        <f>Z62-X62-Y62</f>
        <v>12.679200000000002</v>
      </c>
      <c r="AB62" s="133"/>
      <c r="AC62" s="168"/>
    </row>
    <row r="63" spans="1:29" s="1" customFormat="1" ht="22.5" x14ac:dyDescent="0.2">
      <c r="A63" s="169">
        <v>42</v>
      </c>
      <c r="B63" s="31" t="s">
        <v>76</v>
      </c>
      <c r="C63" s="32" t="s">
        <v>31</v>
      </c>
      <c r="D63" s="32"/>
      <c r="E63" s="32"/>
      <c r="F63" s="32"/>
      <c r="G63" s="49">
        <f>G64+G65</f>
        <v>28.414999999999999</v>
      </c>
      <c r="H63" s="31">
        <f>H64+H65</f>
        <v>0</v>
      </c>
      <c r="I63" s="31">
        <v>0</v>
      </c>
      <c r="J63" s="29">
        <f t="shared" si="18"/>
        <v>28.414999999999999</v>
      </c>
      <c r="K63" s="31">
        <v>0</v>
      </c>
      <c r="L63" s="30">
        <f>1.05*25</f>
        <v>26.25</v>
      </c>
      <c r="M63" s="45">
        <f>L63-J63-K63</f>
        <v>-2.1649999999999991</v>
      </c>
      <c r="N63" s="172">
        <f>MIN(M63:M65)</f>
        <v>-2.1649999999999991</v>
      </c>
      <c r="O63" s="173" t="s">
        <v>25</v>
      </c>
      <c r="P63" s="16"/>
      <c r="Q63" s="173">
        <v>42</v>
      </c>
      <c r="R63" s="31" t="s">
        <v>76</v>
      </c>
      <c r="S63" s="32" t="s">
        <v>31</v>
      </c>
      <c r="T63" s="87">
        <f>T64+T65</f>
        <v>0.68337700000000012</v>
      </c>
      <c r="U63" s="51">
        <f>U64+U65</f>
        <v>29.098376999999999</v>
      </c>
      <c r="V63" s="31">
        <v>0</v>
      </c>
      <c r="W63" s="31">
        <v>0</v>
      </c>
      <c r="X63" s="29">
        <f t="shared" si="19"/>
        <v>29.098376999999999</v>
      </c>
      <c r="Y63" s="31">
        <v>0</v>
      </c>
      <c r="Z63" s="30">
        <f>1.05*25</f>
        <v>26.25</v>
      </c>
      <c r="AA63" s="107">
        <f>Z63-X63-Y63</f>
        <v>-2.8483769999999993</v>
      </c>
      <c r="AB63" s="130">
        <f>MIN(AA63:AA65)</f>
        <v>-2.8483769999999993</v>
      </c>
      <c r="AC63" s="173" t="s">
        <v>25</v>
      </c>
    </row>
    <row r="64" spans="1:29" s="1" customFormat="1" ht="21.75" hidden="1" customHeight="1" x14ac:dyDescent="0.2">
      <c r="A64" s="170"/>
      <c r="B64" s="35" t="s">
        <v>56</v>
      </c>
      <c r="C64" s="32" t="s">
        <v>31</v>
      </c>
      <c r="D64" s="32"/>
      <c r="E64" s="32"/>
      <c r="F64" s="32"/>
      <c r="G64" s="49">
        <v>7.92</v>
      </c>
      <c r="H64" s="49">
        <v>0</v>
      </c>
      <c r="I64" s="31">
        <v>0</v>
      </c>
      <c r="J64" s="30">
        <f t="shared" si="18"/>
        <v>7.92</v>
      </c>
      <c r="K64" s="31">
        <v>0</v>
      </c>
      <c r="L64" s="30">
        <f>1.05*25</f>
        <v>26.25</v>
      </c>
      <c r="M64" s="3">
        <f>L64-G64</f>
        <v>18.329999999999998</v>
      </c>
      <c r="N64" s="200"/>
      <c r="O64" s="193"/>
      <c r="P64" s="16"/>
      <c r="Q64" s="174"/>
      <c r="R64" s="35" t="s">
        <v>56</v>
      </c>
      <c r="S64" s="32" t="s">
        <v>31</v>
      </c>
      <c r="T64" s="87"/>
      <c r="U64" s="51">
        <f>G64+T64</f>
        <v>7.92</v>
      </c>
      <c r="V64" s="31">
        <v>0</v>
      </c>
      <c r="W64" s="31">
        <v>0</v>
      </c>
      <c r="X64" s="29">
        <f t="shared" si="19"/>
        <v>7.92</v>
      </c>
      <c r="Y64" s="31">
        <v>0</v>
      </c>
      <c r="Z64" s="30">
        <f>1.05*25</f>
        <v>26.25</v>
      </c>
      <c r="AA64" s="3">
        <f>Z64-U64</f>
        <v>18.329999999999998</v>
      </c>
      <c r="AB64" s="137"/>
      <c r="AC64" s="174"/>
    </row>
    <row r="65" spans="1:29" s="1" customFormat="1" ht="25.5" hidden="1" customHeight="1" x14ac:dyDescent="0.2">
      <c r="A65" s="171"/>
      <c r="B65" s="35" t="s">
        <v>44</v>
      </c>
      <c r="C65" s="32" t="s">
        <v>31</v>
      </c>
      <c r="D65" s="32"/>
      <c r="E65" s="32"/>
      <c r="F65" s="32"/>
      <c r="G65" s="49">
        <v>20.495000000000001</v>
      </c>
      <c r="H65" s="31">
        <v>0</v>
      </c>
      <c r="I65" s="31">
        <v>0</v>
      </c>
      <c r="J65" s="30">
        <f t="shared" si="18"/>
        <v>20.495000000000001</v>
      </c>
      <c r="K65" s="31">
        <v>0</v>
      </c>
      <c r="L65" s="30">
        <f>1.05*25</f>
        <v>26.25</v>
      </c>
      <c r="M65" s="3">
        <f>L65-J65-K65</f>
        <v>5.754999999999999</v>
      </c>
      <c r="N65" s="201"/>
      <c r="O65" s="194"/>
      <c r="P65" s="16"/>
      <c r="Q65" s="175"/>
      <c r="R65" s="35" t="s">
        <v>44</v>
      </c>
      <c r="S65" s="32" t="s">
        <v>31</v>
      </c>
      <c r="T65" s="87">
        <f>0.012+0.017+0.0054-0.0215+0.607+0.0161+0.013977-0.0204+0.0068+0.0538+0.0086-0.0154</f>
        <v>0.68337700000000012</v>
      </c>
      <c r="U65" s="51">
        <f>G65+T65</f>
        <v>21.178377000000001</v>
      </c>
      <c r="V65" s="31">
        <v>0</v>
      </c>
      <c r="W65" s="31">
        <v>0</v>
      </c>
      <c r="X65" s="29">
        <f t="shared" si="19"/>
        <v>21.178377000000001</v>
      </c>
      <c r="Y65" s="31">
        <v>0</v>
      </c>
      <c r="Z65" s="30">
        <f>1.05*25</f>
        <v>26.25</v>
      </c>
      <c r="AA65" s="3">
        <f>Z65-X65-Y65</f>
        <v>5.0716229999999989</v>
      </c>
      <c r="AB65" s="138"/>
      <c r="AC65" s="175"/>
    </row>
    <row r="66" spans="1:29" s="1" customFormat="1" ht="22.5" x14ac:dyDescent="0.2">
      <c r="A66" s="169">
        <v>43</v>
      </c>
      <c r="B66" s="25" t="s">
        <v>77</v>
      </c>
      <c r="C66" s="63" t="s">
        <v>48</v>
      </c>
      <c r="D66" s="63">
        <v>15.35</v>
      </c>
      <c r="E66" s="63">
        <v>3.34</v>
      </c>
      <c r="F66" s="63"/>
      <c r="G66" s="48">
        <f>G67+G68</f>
        <v>15.818999999999999</v>
      </c>
      <c r="H66" s="25">
        <f>H67+H68</f>
        <v>5.2</v>
      </c>
      <c r="I66" s="25" t="str">
        <f>I67</f>
        <v>6 час</v>
      </c>
      <c r="J66" s="26">
        <f t="shared" si="18"/>
        <v>10.619</v>
      </c>
      <c r="K66" s="25">
        <v>0</v>
      </c>
      <c r="L66" s="24">
        <f>1.05*16</f>
        <v>16.8</v>
      </c>
      <c r="M66" s="5">
        <f>L66-J66-K66</f>
        <v>6.1810000000000009</v>
      </c>
      <c r="N66" s="157">
        <f>MIN(M66:M68)</f>
        <v>6.1810000000000009</v>
      </c>
      <c r="O66" s="158" t="s">
        <v>24</v>
      </c>
      <c r="P66" s="16"/>
      <c r="Q66" s="169">
        <v>43</v>
      </c>
      <c r="R66" s="25" t="s">
        <v>77</v>
      </c>
      <c r="S66" s="28" t="s">
        <v>48</v>
      </c>
      <c r="T66" s="85">
        <f>T67+T68+0</f>
        <v>0.29902799999999996</v>
      </c>
      <c r="U66" s="47">
        <f>U67+U68</f>
        <v>16.118027999999999</v>
      </c>
      <c r="V66" s="25">
        <f>V67+V68</f>
        <v>5.2</v>
      </c>
      <c r="W66" s="25" t="str">
        <f>W67</f>
        <v>6 час</v>
      </c>
      <c r="X66" s="26">
        <f t="shared" si="19"/>
        <v>10.918028</v>
      </c>
      <c r="Y66" s="25">
        <v>0</v>
      </c>
      <c r="Z66" s="24">
        <f>1.05*16</f>
        <v>16.8</v>
      </c>
      <c r="AA66" s="5">
        <f>Z66-X66-Y66</f>
        <v>5.8819720000000011</v>
      </c>
      <c r="AB66" s="129">
        <f>MIN(AA66:AA68)</f>
        <v>5.8819720000000011</v>
      </c>
      <c r="AC66" s="158" t="s">
        <v>24</v>
      </c>
    </row>
    <row r="67" spans="1:29" s="1" customFormat="1" ht="22.5" hidden="1" customHeight="1" x14ac:dyDescent="0.2">
      <c r="A67" s="170"/>
      <c r="B67" s="27" t="s">
        <v>56</v>
      </c>
      <c r="C67" s="63" t="s">
        <v>48</v>
      </c>
      <c r="D67" s="63">
        <v>7.17</v>
      </c>
      <c r="E67" s="63">
        <v>2.5099999999999998</v>
      </c>
      <c r="F67" s="63"/>
      <c r="G67" s="48">
        <v>7.5970000000000004</v>
      </c>
      <c r="H67" s="25">
        <v>5.2</v>
      </c>
      <c r="I67" s="25" t="s">
        <v>57</v>
      </c>
      <c r="J67" s="26">
        <f t="shared" si="18"/>
        <v>2.3970000000000002</v>
      </c>
      <c r="K67" s="25">
        <v>0</v>
      </c>
      <c r="L67" s="24">
        <f>1.05*16</f>
        <v>16.8</v>
      </c>
      <c r="M67" s="5">
        <f>L67-G67</f>
        <v>9.2029999999999994</v>
      </c>
      <c r="N67" s="179"/>
      <c r="O67" s="159"/>
      <c r="P67" s="16"/>
      <c r="Q67" s="170"/>
      <c r="R67" s="27" t="s">
        <v>56</v>
      </c>
      <c r="S67" s="28" t="s">
        <v>48</v>
      </c>
      <c r="T67" s="85"/>
      <c r="U67" s="47">
        <f>T67+G67</f>
        <v>7.5970000000000004</v>
      </c>
      <c r="V67" s="25">
        <v>5.2</v>
      </c>
      <c r="W67" s="25" t="s">
        <v>57</v>
      </c>
      <c r="X67" s="26">
        <f t="shared" si="19"/>
        <v>2.3970000000000002</v>
      </c>
      <c r="Y67" s="25">
        <v>0</v>
      </c>
      <c r="Z67" s="24">
        <f>1.05*16</f>
        <v>16.8</v>
      </c>
      <c r="AA67" s="5">
        <f>Z67-U67</f>
        <v>9.2029999999999994</v>
      </c>
      <c r="AB67" s="132"/>
      <c r="AC67" s="167"/>
    </row>
    <row r="68" spans="1:29" s="1" customFormat="1" ht="22.5" hidden="1" customHeight="1" x14ac:dyDescent="0.2">
      <c r="A68" s="171"/>
      <c r="B68" s="27" t="s">
        <v>44</v>
      </c>
      <c r="C68" s="63" t="s">
        <v>48</v>
      </c>
      <c r="D68" s="63">
        <v>8.18</v>
      </c>
      <c r="E68" s="63">
        <v>0.83</v>
      </c>
      <c r="F68" s="63"/>
      <c r="G68" s="48">
        <v>8.2219999999999995</v>
      </c>
      <c r="H68" s="25">
        <v>0</v>
      </c>
      <c r="I68" s="25">
        <v>0</v>
      </c>
      <c r="J68" s="26">
        <f t="shared" si="18"/>
        <v>8.2219999999999995</v>
      </c>
      <c r="K68" s="25">
        <v>0</v>
      </c>
      <c r="L68" s="24">
        <f>1.05*16</f>
        <v>16.8</v>
      </c>
      <c r="M68" s="5">
        <f>L68-J68-K68</f>
        <v>8.5780000000000012</v>
      </c>
      <c r="N68" s="180"/>
      <c r="O68" s="160"/>
      <c r="P68" s="16"/>
      <c r="Q68" s="171"/>
      <c r="R68" s="27" t="s">
        <v>44</v>
      </c>
      <c r="S68" s="28" t="s">
        <v>48</v>
      </c>
      <c r="T68" s="85">
        <f>0.102+0.031+0.005+0.032+0.018+0.006+0.011+0.016+0.007-0.0973+0.0215+0.0269+0.0183+0.0312+0.008+0.0054+0.0161+0.0161+0.0645+0.016128-0.0882+0.0065+0.0215+0.0073+0.0068+0.0068+0.0076+0.0398+0.0297-0.153+0.0297+0.0297</f>
        <v>0.29902799999999996</v>
      </c>
      <c r="U68" s="47">
        <f>T68+G68</f>
        <v>8.5210279999999994</v>
      </c>
      <c r="V68" s="25">
        <v>0</v>
      </c>
      <c r="W68" s="25">
        <v>0</v>
      </c>
      <c r="X68" s="26">
        <f t="shared" si="19"/>
        <v>8.5210279999999994</v>
      </c>
      <c r="Y68" s="25">
        <v>0</v>
      </c>
      <c r="Z68" s="24">
        <f>1.05*16</f>
        <v>16.8</v>
      </c>
      <c r="AA68" s="5">
        <f>Z68-X68-Y68</f>
        <v>8.2789720000000013</v>
      </c>
      <c r="AB68" s="133"/>
      <c r="AC68" s="168"/>
    </row>
    <row r="69" spans="1:29" s="1" customFormat="1" ht="22.5" x14ac:dyDescent="0.2">
      <c r="A69" s="18">
        <v>44</v>
      </c>
      <c r="B69" s="65" t="s">
        <v>78</v>
      </c>
      <c r="C69" s="63" t="s">
        <v>26</v>
      </c>
      <c r="D69" s="63">
        <v>7.4160000000000004</v>
      </c>
      <c r="E69" s="63">
        <v>2.3940000000000001</v>
      </c>
      <c r="F69" s="63"/>
      <c r="G69" s="48">
        <v>7.7930000000000001</v>
      </c>
      <c r="H69" s="25">
        <v>0</v>
      </c>
      <c r="I69" s="25">
        <v>0</v>
      </c>
      <c r="J69" s="24">
        <f t="shared" si="18"/>
        <v>7.7930000000000001</v>
      </c>
      <c r="K69" s="25">
        <v>0</v>
      </c>
      <c r="L69" s="24">
        <f>1.05*10</f>
        <v>10.5</v>
      </c>
      <c r="M69" s="6">
        <f>L69-J69-K69</f>
        <v>2.7069999999999999</v>
      </c>
      <c r="N69" s="48">
        <f>M69</f>
        <v>2.7069999999999999</v>
      </c>
      <c r="O69" s="17" t="s">
        <v>24</v>
      </c>
      <c r="P69" s="16"/>
      <c r="Q69" s="18">
        <v>44</v>
      </c>
      <c r="R69" s="65" t="s">
        <v>78</v>
      </c>
      <c r="S69" s="28" t="s">
        <v>26</v>
      </c>
      <c r="T69" s="85">
        <f>1.183+0.215+0.323+0.3226</f>
        <v>2.0436000000000001</v>
      </c>
      <c r="U69" s="47">
        <f>T69+G69</f>
        <v>9.8366000000000007</v>
      </c>
      <c r="V69" s="25">
        <v>0</v>
      </c>
      <c r="W69" s="25">
        <v>0</v>
      </c>
      <c r="X69" s="26">
        <f t="shared" si="19"/>
        <v>9.8366000000000007</v>
      </c>
      <c r="Y69" s="25">
        <v>0</v>
      </c>
      <c r="Z69" s="24">
        <f>1.05*10</f>
        <v>10.5</v>
      </c>
      <c r="AA69" s="6">
        <f>Z69-X69-Y69</f>
        <v>0.66339999999999932</v>
      </c>
      <c r="AB69" s="48">
        <f>AA69</f>
        <v>0.66339999999999932</v>
      </c>
      <c r="AC69" s="12" t="s">
        <v>24</v>
      </c>
    </row>
    <row r="70" spans="1:29" s="1" customFormat="1" ht="22.5" x14ac:dyDescent="0.2">
      <c r="A70" s="169">
        <v>45</v>
      </c>
      <c r="B70" s="25" t="s">
        <v>79</v>
      </c>
      <c r="C70" s="63" t="s">
        <v>31</v>
      </c>
      <c r="D70" s="63">
        <v>8.49</v>
      </c>
      <c r="E70" s="63">
        <v>4.55</v>
      </c>
      <c r="F70" s="63"/>
      <c r="G70" s="48">
        <v>9.6319999999999997</v>
      </c>
      <c r="H70" s="25">
        <f>H71+H72</f>
        <v>2.68</v>
      </c>
      <c r="I70" s="25" t="s">
        <v>57</v>
      </c>
      <c r="J70" s="26">
        <f t="shared" si="18"/>
        <v>6.952</v>
      </c>
      <c r="K70" s="25">
        <v>0</v>
      </c>
      <c r="L70" s="24">
        <f>1.05*25</f>
        <v>26.25</v>
      </c>
      <c r="M70" s="5">
        <f>L70-J70-K70</f>
        <v>19.298000000000002</v>
      </c>
      <c r="N70" s="157">
        <f>MIN(M70:M72)</f>
        <v>19.298000000000002</v>
      </c>
      <c r="O70" s="158" t="s">
        <v>24</v>
      </c>
      <c r="P70" s="16"/>
      <c r="Q70" s="169">
        <v>45</v>
      </c>
      <c r="R70" s="25" t="s">
        <v>79</v>
      </c>
      <c r="S70" s="28" t="s">
        <v>31</v>
      </c>
      <c r="T70" s="85">
        <f>T71+T72</f>
        <v>0</v>
      </c>
      <c r="U70" s="47">
        <f>U71+U72</f>
        <v>9.7010000000000005</v>
      </c>
      <c r="V70" s="25">
        <f>V71+V72</f>
        <v>2.4</v>
      </c>
      <c r="W70" s="25" t="s">
        <v>57</v>
      </c>
      <c r="X70" s="26">
        <f t="shared" si="19"/>
        <v>7.3010000000000002</v>
      </c>
      <c r="Y70" s="25">
        <v>0</v>
      </c>
      <c r="Z70" s="24">
        <f>1.05*25</f>
        <v>26.25</v>
      </c>
      <c r="AA70" s="5">
        <f>Z70-X70-Y70</f>
        <v>18.948999999999998</v>
      </c>
      <c r="AB70" s="129">
        <f>MIN(AA70:AA72)</f>
        <v>18.948999999999998</v>
      </c>
      <c r="AC70" s="158" t="s">
        <v>24</v>
      </c>
    </row>
    <row r="71" spans="1:29" s="1" customFormat="1" ht="22.5" hidden="1" customHeight="1" x14ac:dyDescent="0.2">
      <c r="A71" s="170"/>
      <c r="B71" s="27" t="s">
        <v>56</v>
      </c>
      <c r="C71" s="63" t="s">
        <v>31</v>
      </c>
      <c r="D71" s="63">
        <v>5.07</v>
      </c>
      <c r="E71" s="63">
        <v>2.15</v>
      </c>
      <c r="F71" s="63"/>
      <c r="G71" s="48">
        <v>5.5069999999999997</v>
      </c>
      <c r="H71" s="25">
        <v>2.68</v>
      </c>
      <c r="I71" s="25" t="s">
        <v>57</v>
      </c>
      <c r="J71" s="26">
        <f t="shared" si="18"/>
        <v>2.8269999999999995</v>
      </c>
      <c r="K71" s="25">
        <v>0</v>
      </c>
      <c r="L71" s="24">
        <f>1.05*25</f>
        <v>26.25</v>
      </c>
      <c r="M71" s="5">
        <f>L71-G71</f>
        <v>20.743000000000002</v>
      </c>
      <c r="N71" s="179"/>
      <c r="O71" s="159"/>
      <c r="P71" s="16"/>
      <c r="Q71" s="170"/>
      <c r="R71" s="27" t="s">
        <v>56</v>
      </c>
      <c r="S71" s="28" t="s">
        <v>31</v>
      </c>
      <c r="T71" s="85"/>
      <c r="U71" s="47">
        <f>T71+G71</f>
        <v>5.5069999999999997</v>
      </c>
      <c r="V71" s="25">
        <v>2.4</v>
      </c>
      <c r="W71" s="25" t="s">
        <v>57</v>
      </c>
      <c r="X71" s="26">
        <f t="shared" si="19"/>
        <v>3.1069999999999998</v>
      </c>
      <c r="Y71" s="25">
        <v>0</v>
      </c>
      <c r="Z71" s="24">
        <f>1.05*25</f>
        <v>26.25</v>
      </c>
      <c r="AA71" s="5">
        <f>Z71-U71</f>
        <v>20.743000000000002</v>
      </c>
      <c r="AB71" s="132"/>
      <c r="AC71" s="167"/>
    </row>
    <row r="72" spans="1:29" s="1" customFormat="1" ht="24.75" hidden="1" customHeight="1" x14ac:dyDescent="0.2">
      <c r="A72" s="171"/>
      <c r="B72" s="27" t="s">
        <v>44</v>
      </c>
      <c r="C72" s="63" t="s">
        <v>31</v>
      </c>
      <c r="D72" s="63">
        <v>3.44</v>
      </c>
      <c r="E72" s="63">
        <v>2.4</v>
      </c>
      <c r="F72" s="63"/>
      <c r="G72" s="48">
        <v>4.194</v>
      </c>
      <c r="H72" s="25">
        <v>0</v>
      </c>
      <c r="I72" s="25">
        <v>0</v>
      </c>
      <c r="J72" s="26">
        <v>0</v>
      </c>
      <c r="K72" s="25">
        <v>0</v>
      </c>
      <c r="L72" s="24">
        <f>1.05*25</f>
        <v>26.25</v>
      </c>
      <c r="M72" s="5">
        <f>L72-J72-K72</f>
        <v>26.25</v>
      </c>
      <c r="N72" s="180"/>
      <c r="O72" s="160"/>
      <c r="P72" s="16"/>
      <c r="Q72" s="171"/>
      <c r="R72" s="27" t="s">
        <v>44</v>
      </c>
      <c r="S72" s="28" t="s">
        <v>31</v>
      </c>
      <c r="T72" s="85">
        <v>0</v>
      </c>
      <c r="U72" s="47">
        <f t="shared" ref="U72:U135" si="23">T72+G72</f>
        <v>4.194</v>
      </c>
      <c r="V72" s="25">
        <v>0</v>
      </c>
      <c r="W72" s="25">
        <v>0</v>
      </c>
      <c r="X72" s="26">
        <v>0</v>
      </c>
      <c r="Y72" s="25">
        <v>0</v>
      </c>
      <c r="Z72" s="24">
        <f>1.05*25</f>
        <v>26.25</v>
      </c>
      <c r="AA72" s="5">
        <f>Z72-X72-Y72</f>
        <v>26.25</v>
      </c>
      <c r="AB72" s="133"/>
      <c r="AC72" s="168"/>
    </row>
    <row r="73" spans="1:29" s="1" customFormat="1" ht="22.5" x14ac:dyDescent="0.2">
      <c r="A73" s="18">
        <v>46</v>
      </c>
      <c r="B73" s="65" t="s">
        <v>80</v>
      </c>
      <c r="C73" s="63" t="s">
        <v>31</v>
      </c>
      <c r="D73" s="63">
        <v>15.236000000000001</v>
      </c>
      <c r="E73" s="63">
        <v>5.6760000000000002</v>
      </c>
      <c r="F73" s="63"/>
      <c r="G73" s="82">
        <v>16.259</v>
      </c>
      <c r="H73" s="65">
        <v>0</v>
      </c>
      <c r="I73" s="65">
        <v>0</v>
      </c>
      <c r="J73" s="66">
        <f t="shared" ref="J73:J104" si="24">G73-H73</f>
        <v>16.259</v>
      </c>
      <c r="K73" s="65">
        <v>0</v>
      </c>
      <c r="L73" s="66">
        <f>1.05*25</f>
        <v>26.25</v>
      </c>
      <c r="M73" s="2">
        <f>L73-J73-K73</f>
        <v>9.9909999999999997</v>
      </c>
      <c r="N73" s="82">
        <f>M73</f>
        <v>9.9909999999999997</v>
      </c>
      <c r="O73" s="97" t="s">
        <v>24</v>
      </c>
      <c r="P73" s="16"/>
      <c r="Q73" s="18">
        <v>46</v>
      </c>
      <c r="R73" s="65" t="s">
        <v>80</v>
      </c>
      <c r="S73" s="63" t="s">
        <v>31</v>
      </c>
      <c r="T73" s="81">
        <f>0.965+0.005+0.011+0.12+0.011+0.054+0.8505+0.0054-0.2408+1.0214+0.0237+0.7956+1.355+0.043+0.0215+0.0323+0.801014-0.0876+0.0054+0.0054+0.258+0.0283+0.0108+0.0237+0.0135+0.0351+0.0409+0.0323-0.3838+0.0323+0.0917</f>
        <v>5.9806139999999983</v>
      </c>
      <c r="U73" s="79">
        <f t="shared" si="23"/>
        <v>22.239614</v>
      </c>
      <c r="V73" s="65">
        <v>0</v>
      </c>
      <c r="W73" s="65">
        <v>0</v>
      </c>
      <c r="X73" s="64">
        <f t="shared" ref="X73:X104" si="25">U73-V73</f>
        <v>22.239614</v>
      </c>
      <c r="Y73" s="65">
        <v>0</v>
      </c>
      <c r="Z73" s="66">
        <f>1.05*25</f>
        <v>26.25</v>
      </c>
      <c r="AA73" s="2">
        <f>Z73-X73-Y73</f>
        <v>4.0103860000000005</v>
      </c>
      <c r="AB73" s="82">
        <f>AA73</f>
        <v>4.0103860000000005</v>
      </c>
      <c r="AC73" s="18" t="s">
        <v>24</v>
      </c>
    </row>
    <row r="74" spans="1:29" s="1" customFormat="1" ht="22.5" x14ac:dyDescent="0.2">
      <c r="A74" s="18">
        <v>47</v>
      </c>
      <c r="B74" s="25" t="s">
        <v>81</v>
      </c>
      <c r="C74" s="63" t="s">
        <v>48</v>
      </c>
      <c r="D74" s="63">
        <v>12.564</v>
      </c>
      <c r="E74" s="63">
        <v>2.448</v>
      </c>
      <c r="F74" s="63"/>
      <c r="G74" s="48">
        <v>12.8</v>
      </c>
      <c r="H74" s="25">
        <v>0</v>
      </c>
      <c r="I74" s="25">
        <v>0</v>
      </c>
      <c r="J74" s="26">
        <f t="shared" si="24"/>
        <v>12.8</v>
      </c>
      <c r="K74" s="25">
        <v>0</v>
      </c>
      <c r="L74" s="24">
        <f>1.05*16</f>
        <v>16.8</v>
      </c>
      <c r="M74" s="6">
        <f>L74-J74-K74</f>
        <v>4</v>
      </c>
      <c r="N74" s="48">
        <f>M74</f>
        <v>4</v>
      </c>
      <c r="O74" s="17" t="s">
        <v>24</v>
      </c>
      <c r="P74" s="16"/>
      <c r="Q74" s="18">
        <v>47</v>
      </c>
      <c r="R74" s="25" t="s">
        <v>81</v>
      </c>
      <c r="S74" s="28" t="s">
        <v>48</v>
      </c>
      <c r="T74" s="85">
        <f>0.143+0.054+0.005+0.015+0.075+0.016+0.005+0.053+0.215+0.012+0.038+0.0048+0.0161-0.3316+0.029+0.0048+0.0581+0.0048+0.0538+0.5221+0.0086+0.018816+0.0317-0.0831+0.0156+0.0382+0.0242+0.0161+0.0068+0.021+0.6451+0.0527+0.0161-0.2575+0.0161</f>
        <v>1.5633159999999997</v>
      </c>
      <c r="U74" s="47">
        <f t="shared" si="23"/>
        <v>14.363316000000001</v>
      </c>
      <c r="V74" s="25">
        <v>0</v>
      </c>
      <c r="W74" s="25">
        <v>0</v>
      </c>
      <c r="X74" s="26">
        <f t="shared" si="25"/>
        <v>14.363316000000001</v>
      </c>
      <c r="Y74" s="25">
        <v>0</v>
      </c>
      <c r="Z74" s="24">
        <f>1.05*16</f>
        <v>16.8</v>
      </c>
      <c r="AA74" s="6">
        <f>Z74-X74-Y74</f>
        <v>2.4366839999999996</v>
      </c>
      <c r="AB74" s="48">
        <f>AA74</f>
        <v>2.4366839999999996</v>
      </c>
      <c r="AC74" s="12" t="s">
        <v>24</v>
      </c>
    </row>
    <row r="75" spans="1:29" s="1" customFormat="1" ht="22.5" x14ac:dyDescent="0.2">
      <c r="A75" s="18">
        <v>48</v>
      </c>
      <c r="B75" s="31" t="s">
        <v>82</v>
      </c>
      <c r="C75" s="32" t="s">
        <v>26</v>
      </c>
      <c r="D75" s="32">
        <v>16.39</v>
      </c>
      <c r="E75" s="32">
        <v>3.12</v>
      </c>
      <c r="F75" s="32"/>
      <c r="G75" s="49">
        <v>16.684000000000001</v>
      </c>
      <c r="H75" s="31">
        <v>0</v>
      </c>
      <c r="I75" s="31">
        <v>0</v>
      </c>
      <c r="J75" s="30">
        <f t="shared" si="24"/>
        <v>16.684000000000001</v>
      </c>
      <c r="K75" s="31">
        <v>0</v>
      </c>
      <c r="L75" s="30">
        <f>1.05*10</f>
        <v>10.5</v>
      </c>
      <c r="M75" s="4">
        <f>L75-J75-K75</f>
        <v>-6.1840000000000011</v>
      </c>
      <c r="N75" s="49">
        <f>M75</f>
        <v>-6.1840000000000011</v>
      </c>
      <c r="O75" s="19" t="s">
        <v>25</v>
      </c>
      <c r="P75" s="16"/>
      <c r="Q75" s="22">
        <v>48</v>
      </c>
      <c r="R75" s="31" t="s">
        <v>82</v>
      </c>
      <c r="S75" s="32" t="s">
        <v>26</v>
      </c>
      <c r="T75" s="87">
        <f>0.457+1.078+1.078+0.1398+0.1398+2.2149</f>
        <v>5.1075000000000008</v>
      </c>
      <c r="U75" s="51">
        <f t="shared" si="23"/>
        <v>21.791500000000003</v>
      </c>
      <c r="V75" s="31">
        <v>0</v>
      </c>
      <c r="W75" s="31">
        <v>0</v>
      </c>
      <c r="X75" s="29">
        <f t="shared" si="25"/>
        <v>21.791500000000003</v>
      </c>
      <c r="Y75" s="31">
        <v>0</v>
      </c>
      <c r="Z75" s="30">
        <f>1.05*10</f>
        <v>10.5</v>
      </c>
      <c r="AA75" s="45">
        <f>Z75-X75-Y75</f>
        <v>-11.291500000000003</v>
      </c>
      <c r="AB75" s="49">
        <f>AA75</f>
        <v>-11.291500000000003</v>
      </c>
      <c r="AC75" s="22" t="s">
        <v>25</v>
      </c>
    </row>
    <row r="76" spans="1:29" s="1" customFormat="1" ht="33.75" x14ac:dyDescent="0.2">
      <c r="A76" s="169">
        <v>49</v>
      </c>
      <c r="B76" s="25" t="s">
        <v>83</v>
      </c>
      <c r="C76" s="63" t="s">
        <v>38</v>
      </c>
      <c r="D76" s="63">
        <f>D77+D78</f>
        <v>6.9659999999999993</v>
      </c>
      <c r="E76" s="63">
        <f>E77+E78</f>
        <v>2.5700000000000003</v>
      </c>
      <c r="F76" s="63"/>
      <c r="G76" s="48">
        <f>G77+G78</f>
        <v>7.4260000000000002</v>
      </c>
      <c r="H76" s="25">
        <f>H77+H78</f>
        <v>1.4</v>
      </c>
      <c r="I76" s="25" t="s">
        <v>57</v>
      </c>
      <c r="J76" s="26">
        <f t="shared" si="24"/>
        <v>6.0259999999999998</v>
      </c>
      <c r="K76" s="25">
        <v>0</v>
      </c>
      <c r="L76" s="24">
        <f>1.05*10</f>
        <v>10.5</v>
      </c>
      <c r="M76" s="5">
        <f>L76-J76-K76</f>
        <v>4.4740000000000002</v>
      </c>
      <c r="N76" s="157">
        <f>MIN(M76:M78)</f>
        <v>4.4740000000000002</v>
      </c>
      <c r="O76" s="158" t="s">
        <v>24</v>
      </c>
      <c r="P76" s="16"/>
      <c r="Q76" s="169">
        <v>49</v>
      </c>
      <c r="R76" s="25" t="s">
        <v>83</v>
      </c>
      <c r="S76" s="28" t="s">
        <v>38</v>
      </c>
      <c r="T76" s="85">
        <f>T77+T78</f>
        <v>1.017576</v>
      </c>
      <c r="U76" s="47">
        <f>U77+U78</f>
        <v>8.4435760000000002</v>
      </c>
      <c r="V76" s="25">
        <f>V77+V78</f>
        <v>1.4</v>
      </c>
      <c r="W76" s="25" t="s">
        <v>57</v>
      </c>
      <c r="X76" s="26">
        <f t="shared" si="25"/>
        <v>7.0435759999999998</v>
      </c>
      <c r="Y76" s="25">
        <v>0</v>
      </c>
      <c r="Z76" s="24">
        <f>1.05*10</f>
        <v>10.5</v>
      </c>
      <c r="AA76" s="5">
        <f>Z76-X76-Y76</f>
        <v>3.4564240000000002</v>
      </c>
      <c r="AB76" s="129">
        <f>MIN(AA76:AA78)</f>
        <v>3.4564240000000002</v>
      </c>
      <c r="AC76" s="158" t="s">
        <v>24</v>
      </c>
    </row>
    <row r="77" spans="1:29" s="1" customFormat="1" ht="24" hidden="1" customHeight="1" x14ac:dyDescent="0.2">
      <c r="A77" s="170"/>
      <c r="B77" s="27" t="s">
        <v>56</v>
      </c>
      <c r="C77" s="63" t="s">
        <v>38</v>
      </c>
      <c r="D77" s="63">
        <f>D135+D41+D151</f>
        <v>2.1419999999999999</v>
      </c>
      <c r="E77" s="63">
        <f>E135+E41+E151</f>
        <v>0.76600000000000001</v>
      </c>
      <c r="F77" s="63"/>
      <c r="G77" s="48">
        <v>2.2749999999999999</v>
      </c>
      <c r="H77" s="25">
        <v>1.4</v>
      </c>
      <c r="I77" s="25" t="s">
        <v>57</v>
      </c>
      <c r="J77" s="26">
        <f t="shared" si="24"/>
        <v>0.875</v>
      </c>
      <c r="K77" s="25">
        <v>0</v>
      </c>
      <c r="L77" s="24">
        <f>1.05*10</f>
        <v>10.5</v>
      </c>
      <c r="M77" s="5">
        <f>L77-G77</f>
        <v>8.2249999999999996</v>
      </c>
      <c r="N77" s="179"/>
      <c r="O77" s="159"/>
      <c r="P77" s="16"/>
      <c r="Q77" s="170"/>
      <c r="R77" s="27" t="s">
        <v>56</v>
      </c>
      <c r="S77" s="28" t="s">
        <v>38</v>
      </c>
      <c r="T77" s="85"/>
      <c r="U77" s="47">
        <f t="shared" si="23"/>
        <v>2.2749999999999999</v>
      </c>
      <c r="V77" s="25">
        <v>1.4</v>
      </c>
      <c r="W77" s="25" t="s">
        <v>57</v>
      </c>
      <c r="X77" s="26">
        <f t="shared" si="25"/>
        <v>0.875</v>
      </c>
      <c r="Y77" s="25">
        <v>0</v>
      </c>
      <c r="Z77" s="24">
        <f>1.05*10</f>
        <v>10.5</v>
      </c>
      <c r="AA77" s="5">
        <f>Z77-U77</f>
        <v>8.2249999999999996</v>
      </c>
      <c r="AB77" s="132"/>
      <c r="AC77" s="167"/>
    </row>
    <row r="78" spans="1:29" s="1" customFormat="1" ht="24" hidden="1" customHeight="1" x14ac:dyDescent="0.2">
      <c r="A78" s="171"/>
      <c r="B78" s="27" t="s">
        <v>44</v>
      </c>
      <c r="C78" s="63" t="s">
        <v>38</v>
      </c>
      <c r="D78" s="63">
        <v>4.8239999999999998</v>
      </c>
      <c r="E78" s="63">
        <v>1.804</v>
      </c>
      <c r="F78" s="63"/>
      <c r="G78" s="48">
        <v>5.1509999999999998</v>
      </c>
      <c r="H78" s="25">
        <v>0</v>
      </c>
      <c r="I78" s="25">
        <v>0</v>
      </c>
      <c r="J78" s="26">
        <f t="shared" si="24"/>
        <v>5.1509999999999998</v>
      </c>
      <c r="K78" s="25">
        <v>0</v>
      </c>
      <c r="L78" s="24">
        <f>1.05*10</f>
        <v>10.5</v>
      </c>
      <c r="M78" s="5">
        <f>L78-J78-K78</f>
        <v>5.3490000000000002</v>
      </c>
      <c r="N78" s="180"/>
      <c r="O78" s="160"/>
      <c r="P78" s="16"/>
      <c r="Q78" s="171"/>
      <c r="R78" s="27" t="s">
        <v>44</v>
      </c>
      <c r="S78" s="28" t="s">
        <v>38</v>
      </c>
      <c r="T78" s="85">
        <f>0.059+0.048+0.005+0.017+0.005+0.031+0.023+0.348+0.014+0.01+0.0172+0.0263-0.0914+0.0108+0.0426+0.0183+0.1545+0.006+0.0581+0.0113+0.0484+0.0419+0.005376-0.1726+0.0135+0.0068+0.0135+0.2723+0.2415+0.0745+0.0068+0.0161-0.429+0.0161+0.0487</f>
        <v>1.017576</v>
      </c>
      <c r="U78" s="47">
        <f t="shared" si="23"/>
        <v>6.1685759999999998</v>
      </c>
      <c r="V78" s="25">
        <v>0</v>
      </c>
      <c r="W78" s="25">
        <v>0</v>
      </c>
      <c r="X78" s="26">
        <f t="shared" si="25"/>
        <v>6.1685759999999998</v>
      </c>
      <c r="Y78" s="25">
        <v>0</v>
      </c>
      <c r="Z78" s="24">
        <f>1.05*10</f>
        <v>10.5</v>
      </c>
      <c r="AA78" s="5">
        <f>Z78-X78-Y78</f>
        <v>4.3314240000000002</v>
      </c>
      <c r="AB78" s="133"/>
      <c r="AC78" s="168"/>
    </row>
    <row r="79" spans="1:29" s="1" customFormat="1" ht="22.5" x14ac:dyDescent="0.2">
      <c r="A79" s="169">
        <v>50</v>
      </c>
      <c r="B79" s="25" t="s">
        <v>84</v>
      </c>
      <c r="C79" s="63" t="s">
        <v>30</v>
      </c>
      <c r="D79" s="63"/>
      <c r="E79" s="63"/>
      <c r="F79" s="63"/>
      <c r="G79" s="48">
        <f>G80+G81</f>
        <v>10.289</v>
      </c>
      <c r="H79" s="25">
        <f>H80+H81</f>
        <v>3.7</v>
      </c>
      <c r="I79" s="25" t="s">
        <v>57</v>
      </c>
      <c r="J79" s="26">
        <f t="shared" si="24"/>
        <v>6.5889999999999995</v>
      </c>
      <c r="K79" s="25">
        <v>0</v>
      </c>
      <c r="L79" s="24">
        <f>1.05*16</f>
        <v>16.8</v>
      </c>
      <c r="M79" s="5">
        <f>L79-J79-K79</f>
        <v>10.211000000000002</v>
      </c>
      <c r="N79" s="157">
        <f>MIN(M79:M81)</f>
        <v>10.211000000000002</v>
      </c>
      <c r="O79" s="158" t="s">
        <v>24</v>
      </c>
      <c r="P79" s="16"/>
      <c r="Q79" s="169">
        <v>50</v>
      </c>
      <c r="R79" s="25" t="s">
        <v>84</v>
      </c>
      <c r="S79" s="28" t="s">
        <v>30</v>
      </c>
      <c r="T79" s="85">
        <f>T80+T81</f>
        <v>5.400000000000002E-2</v>
      </c>
      <c r="U79" s="47">
        <f>U80+U81</f>
        <v>10.343</v>
      </c>
      <c r="V79" s="25">
        <f>V80+V81</f>
        <v>3.7</v>
      </c>
      <c r="W79" s="25" t="s">
        <v>57</v>
      </c>
      <c r="X79" s="26">
        <f t="shared" si="25"/>
        <v>6.6429999999999998</v>
      </c>
      <c r="Y79" s="25">
        <v>0</v>
      </c>
      <c r="Z79" s="24">
        <f>1.05*16</f>
        <v>16.8</v>
      </c>
      <c r="AA79" s="5">
        <f>Z79-X79-Y79</f>
        <v>10.157</v>
      </c>
      <c r="AB79" s="129">
        <f>MIN(AA79:AA81)</f>
        <v>10.157</v>
      </c>
      <c r="AC79" s="158" t="s">
        <v>24</v>
      </c>
    </row>
    <row r="80" spans="1:29" s="1" customFormat="1" ht="21" hidden="1" customHeight="1" x14ac:dyDescent="0.2">
      <c r="A80" s="170"/>
      <c r="B80" s="27" t="s">
        <v>56</v>
      </c>
      <c r="C80" s="63" t="s">
        <v>30</v>
      </c>
      <c r="D80" s="63">
        <v>5.1059999999999999</v>
      </c>
      <c r="E80" s="63">
        <v>2.2879999999999998</v>
      </c>
      <c r="F80" s="63"/>
      <c r="G80" s="63">
        <v>5.5979999999999999</v>
      </c>
      <c r="H80" s="25">
        <v>3.7</v>
      </c>
      <c r="I80" s="25" t="s">
        <v>57</v>
      </c>
      <c r="J80" s="26">
        <f t="shared" si="24"/>
        <v>1.8979999999999997</v>
      </c>
      <c r="K80" s="25">
        <v>0</v>
      </c>
      <c r="L80" s="24">
        <f>1.05*16</f>
        <v>16.8</v>
      </c>
      <c r="M80" s="5">
        <f>L80-G80</f>
        <v>11.202000000000002</v>
      </c>
      <c r="N80" s="179"/>
      <c r="O80" s="159"/>
      <c r="P80" s="16"/>
      <c r="Q80" s="170"/>
      <c r="R80" s="27" t="s">
        <v>56</v>
      </c>
      <c r="S80" s="28" t="s">
        <v>30</v>
      </c>
      <c r="T80" s="85"/>
      <c r="U80" s="47">
        <f t="shared" si="23"/>
        <v>5.5979999999999999</v>
      </c>
      <c r="V80" s="25">
        <v>3.7</v>
      </c>
      <c r="W80" s="25" t="s">
        <v>57</v>
      </c>
      <c r="X80" s="26">
        <f t="shared" si="25"/>
        <v>1.8979999999999997</v>
      </c>
      <c r="Y80" s="25">
        <v>0</v>
      </c>
      <c r="Z80" s="24">
        <f>1.05*16</f>
        <v>16.8</v>
      </c>
      <c r="AA80" s="5">
        <f>Z80-U80</f>
        <v>11.202000000000002</v>
      </c>
      <c r="AB80" s="132"/>
      <c r="AC80" s="167"/>
    </row>
    <row r="81" spans="1:29" s="1" customFormat="1" ht="18.75" hidden="1" customHeight="1" x14ac:dyDescent="0.2">
      <c r="A81" s="171"/>
      <c r="B81" s="27" t="s">
        <v>44</v>
      </c>
      <c r="C81" s="63" t="s">
        <v>30</v>
      </c>
      <c r="D81" s="63">
        <v>4.4710000000000001</v>
      </c>
      <c r="E81" s="63">
        <v>1.42</v>
      </c>
      <c r="F81" s="63"/>
      <c r="G81" s="48">
        <v>4.6909999999999998</v>
      </c>
      <c r="H81" s="25">
        <v>0</v>
      </c>
      <c r="I81" s="25">
        <v>0</v>
      </c>
      <c r="J81" s="26">
        <f t="shared" si="24"/>
        <v>4.6909999999999998</v>
      </c>
      <c r="K81" s="25">
        <v>0</v>
      </c>
      <c r="L81" s="24">
        <f>1.05*16</f>
        <v>16.8</v>
      </c>
      <c r="M81" s="5">
        <f>L81-J81-K81</f>
        <v>12.109000000000002</v>
      </c>
      <c r="N81" s="180"/>
      <c r="O81" s="160"/>
      <c r="P81" s="16"/>
      <c r="Q81" s="171"/>
      <c r="R81" s="27" t="s">
        <v>44</v>
      </c>
      <c r="S81" s="28" t="s">
        <v>30</v>
      </c>
      <c r="T81" s="85">
        <f>0.02+0.016+0.003+0.003-0.0086+0.0269+0.1562+0.008+0.0068-0.1773</f>
        <v>5.400000000000002E-2</v>
      </c>
      <c r="U81" s="47">
        <f t="shared" si="23"/>
        <v>4.7450000000000001</v>
      </c>
      <c r="V81" s="25">
        <v>0</v>
      </c>
      <c r="W81" s="25">
        <v>0</v>
      </c>
      <c r="X81" s="26">
        <f t="shared" si="25"/>
        <v>4.7450000000000001</v>
      </c>
      <c r="Y81" s="25">
        <v>0</v>
      </c>
      <c r="Z81" s="24">
        <f>1.05*16</f>
        <v>16.8</v>
      </c>
      <c r="AA81" s="5">
        <f>Z81-X81-Y81</f>
        <v>12.055</v>
      </c>
      <c r="AB81" s="133"/>
      <c r="AC81" s="168"/>
    </row>
    <row r="82" spans="1:29" s="1" customFormat="1" ht="22.5" x14ac:dyDescent="0.2">
      <c r="A82" s="18">
        <v>51</v>
      </c>
      <c r="B82" s="65" t="s">
        <v>85</v>
      </c>
      <c r="C82" s="63" t="s">
        <v>49</v>
      </c>
      <c r="D82" s="63">
        <v>0.73599999999999999</v>
      </c>
      <c r="E82" s="63">
        <v>0.32800000000000001</v>
      </c>
      <c r="F82" s="63"/>
      <c r="G82" s="48">
        <v>0.80600000000000005</v>
      </c>
      <c r="H82" s="25">
        <v>0</v>
      </c>
      <c r="I82" s="25">
        <v>0</v>
      </c>
      <c r="J82" s="26">
        <f t="shared" si="24"/>
        <v>0.80600000000000005</v>
      </c>
      <c r="K82" s="25">
        <v>0</v>
      </c>
      <c r="L82" s="24">
        <f>1.05*2.5</f>
        <v>2.625</v>
      </c>
      <c r="M82" s="6">
        <f>L82-J82-K82</f>
        <v>1.819</v>
      </c>
      <c r="N82" s="48">
        <f>M82</f>
        <v>1.819</v>
      </c>
      <c r="O82" s="17" t="s">
        <v>24</v>
      </c>
      <c r="P82" s="16"/>
      <c r="Q82" s="18">
        <v>51</v>
      </c>
      <c r="R82" s="25" t="s">
        <v>85</v>
      </c>
      <c r="S82" s="28" t="s">
        <v>49</v>
      </c>
      <c r="T82" s="85">
        <f>0.008+0.002+0.005+0.005+0.008+0.0054+0.0108+0.0161+0.1851+0.0075+0.008+0.0102+0.0054+0.0323+0.0108-0.0306+0.0008+0.021+0.0326+0.0043+0.0161+0.0323-0.0546+0.0323</f>
        <v>0.37380000000000008</v>
      </c>
      <c r="U82" s="47">
        <f t="shared" si="23"/>
        <v>1.1798000000000002</v>
      </c>
      <c r="V82" s="25">
        <v>0</v>
      </c>
      <c r="W82" s="25">
        <v>0</v>
      </c>
      <c r="X82" s="26">
        <f t="shared" si="25"/>
        <v>1.1798000000000002</v>
      </c>
      <c r="Y82" s="25">
        <v>0</v>
      </c>
      <c r="Z82" s="24">
        <f>1.05*2.5</f>
        <v>2.625</v>
      </c>
      <c r="AA82" s="6">
        <f>Z82-X82-Y82</f>
        <v>1.4451999999999998</v>
      </c>
      <c r="AB82" s="48">
        <f>AA82</f>
        <v>1.4451999999999998</v>
      </c>
      <c r="AC82" s="12" t="s">
        <v>24</v>
      </c>
    </row>
    <row r="83" spans="1:29" s="74" customFormat="1" ht="22.5" x14ac:dyDescent="0.2">
      <c r="A83" s="18">
        <v>52</v>
      </c>
      <c r="B83" s="65" t="s">
        <v>86</v>
      </c>
      <c r="C83" s="63" t="s">
        <v>30</v>
      </c>
      <c r="D83" s="63">
        <v>14.522</v>
      </c>
      <c r="E83" s="63">
        <v>2.226</v>
      </c>
      <c r="F83" s="63"/>
      <c r="G83" s="82">
        <v>14.723000000000001</v>
      </c>
      <c r="H83" s="65">
        <v>0</v>
      </c>
      <c r="I83" s="65">
        <v>0</v>
      </c>
      <c r="J83" s="66">
        <f t="shared" si="24"/>
        <v>14.723000000000001</v>
      </c>
      <c r="K83" s="65">
        <v>0</v>
      </c>
      <c r="L83" s="66">
        <f>1.05*16</f>
        <v>16.8</v>
      </c>
      <c r="M83" s="2">
        <f>L83-J83-K83</f>
        <v>2.077</v>
      </c>
      <c r="N83" s="82">
        <f>M83</f>
        <v>2.077</v>
      </c>
      <c r="O83" s="97" t="s">
        <v>24</v>
      </c>
      <c r="P83" s="16"/>
      <c r="Q83" s="18">
        <v>52</v>
      </c>
      <c r="R83" s="65" t="s">
        <v>86</v>
      </c>
      <c r="S83" s="63" t="s">
        <v>30</v>
      </c>
      <c r="T83" s="81">
        <f>1.472-0.8354+0.3226+0.5914-0.7526</f>
        <v>0.79799999999999993</v>
      </c>
      <c r="U83" s="79">
        <f t="shared" si="23"/>
        <v>15.521000000000001</v>
      </c>
      <c r="V83" s="65">
        <v>0</v>
      </c>
      <c r="W83" s="65">
        <v>0</v>
      </c>
      <c r="X83" s="64">
        <f t="shared" si="25"/>
        <v>15.521000000000001</v>
      </c>
      <c r="Y83" s="65">
        <v>0</v>
      </c>
      <c r="Z83" s="66">
        <f>1.05*16</f>
        <v>16.8</v>
      </c>
      <c r="AA83" s="2">
        <f>Z83-X83-Y83</f>
        <v>1.2789999999999999</v>
      </c>
      <c r="AB83" s="82">
        <f>AA83</f>
        <v>1.2789999999999999</v>
      </c>
      <c r="AC83" s="18" t="s">
        <v>24</v>
      </c>
    </row>
    <row r="84" spans="1:29" s="1" customFormat="1" ht="22.5" x14ac:dyDescent="0.2">
      <c r="A84" s="169">
        <v>53</v>
      </c>
      <c r="B84" s="25" t="s">
        <v>87</v>
      </c>
      <c r="C84" s="63" t="s">
        <v>38</v>
      </c>
      <c r="D84" s="63">
        <f>D85+D86</f>
        <v>4.62</v>
      </c>
      <c r="E84" s="63">
        <f>E85+E86</f>
        <v>1.79</v>
      </c>
      <c r="F84" s="63"/>
      <c r="G84" s="48">
        <f>G85+G86</f>
        <v>5.8</v>
      </c>
      <c r="H84" s="25">
        <f>H85+H86</f>
        <v>4.5</v>
      </c>
      <c r="I84" s="25" t="s">
        <v>57</v>
      </c>
      <c r="J84" s="26">
        <f t="shared" si="24"/>
        <v>1.2999999999999998</v>
      </c>
      <c r="K84" s="25">
        <v>0</v>
      </c>
      <c r="L84" s="24">
        <f>1.05*10</f>
        <v>10.5</v>
      </c>
      <c r="M84" s="5">
        <f>L84-J84-K84</f>
        <v>9.1999999999999993</v>
      </c>
      <c r="N84" s="157">
        <f>MIN(M84:M86)</f>
        <v>5.569</v>
      </c>
      <c r="O84" s="158" t="s">
        <v>24</v>
      </c>
      <c r="P84" s="16"/>
      <c r="Q84" s="169">
        <v>53</v>
      </c>
      <c r="R84" s="25" t="s">
        <v>87</v>
      </c>
      <c r="S84" s="28" t="s">
        <v>38</v>
      </c>
      <c r="T84" s="85">
        <f>T85+T86</f>
        <v>2.3242859999999999</v>
      </c>
      <c r="U84" s="47">
        <f>U85+U86</f>
        <v>8.1242859999999997</v>
      </c>
      <c r="V84" s="25">
        <f>V85+V86</f>
        <v>4.5</v>
      </c>
      <c r="W84" s="25" t="s">
        <v>57</v>
      </c>
      <c r="X84" s="26">
        <f t="shared" si="25"/>
        <v>3.6242859999999997</v>
      </c>
      <c r="Y84" s="25">
        <v>0</v>
      </c>
      <c r="Z84" s="24">
        <f>1.05*10</f>
        <v>10.5</v>
      </c>
      <c r="AA84" s="5">
        <f>Z84-X84-Y84</f>
        <v>6.8757140000000003</v>
      </c>
      <c r="AB84" s="129">
        <f>MIN(AA84:AA86)</f>
        <v>5.569</v>
      </c>
      <c r="AC84" s="158" t="s">
        <v>24</v>
      </c>
    </row>
    <row r="85" spans="1:29" s="1" customFormat="1" ht="21.75" hidden="1" customHeight="1" x14ac:dyDescent="0.2">
      <c r="A85" s="170"/>
      <c r="B85" s="27" t="s">
        <v>56</v>
      </c>
      <c r="C85" s="63" t="s">
        <v>38</v>
      </c>
      <c r="D85" s="63">
        <v>3.82</v>
      </c>
      <c r="E85" s="63">
        <v>1.45</v>
      </c>
      <c r="F85" s="63"/>
      <c r="G85" s="48">
        <v>4.931</v>
      </c>
      <c r="H85" s="25">
        <v>4.5</v>
      </c>
      <c r="I85" s="25" t="s">
        <v>57</v>
      </c>
      <c r="J85" s="26">
        <v>0</v>
      </c>
      <c r="K85" s="25">
        <v>0</v>
      </c>
      <c r="L85" s="24">
        <f>1.05*10</f>
        <v>10.5</v>
      </c>
      <c r="M85" s="5">
        <f>L85-G85</f>
        <v>5.569</v>
      </c>
      <c r="N85" s="179"/>
      <c r="O85" s="159"/>
      <c r="P85" s="16"/>
      <c r="Q85" s="170"/>
      <c r="R85" s="27" t="s">
        <v>56</v>
      </c>
      <c r="S85" s="28" t="s">
        <v>38</v>
      </c>
      <c r="T85" s="85"/>
      <c r="U85" s="47">
        <f t="shared" si="23"/>
        <v>4.931</v>
      </c>
      <c r="V85" s="25">
        <v>4.5</v>
      </c>
      <c r="W85" s="25" t="s">
        <v>57</v>
      </c>
      <c r="X85" s="26">
        <v>0</v>
      </c>
      <c r="Y85" s="25">
        <v>0</v>
      </c>
      <c r="Z85" s="24">
        <f>1.05*10</f>
        <v>10.5</v>
      </c>
      <c r="AA85" s="5">
        <f>Z85-U85</f>
        <v>5.569</v>
      </c>
      <c r="AB85" s="132"/>
      <c r="AC85" s="167"/>
    </row>
    <row r="86" spans="1:29" s="1" customFormat="1" ht="21.75" hidden="1" customHeight="1" x14ac:dyDescent="0.2">
      <c r="A86" s="171"/>
      <c r="B86" s="27" t="s">
        <v>44</v>
      </c>
      <c r="C86" s="63" t="s">
        <v>38</v>
      </c>
      <c r="D86" s="63">
        <v>0.8</v>
      </c>
      <c r="E86" s="63">
        <v>0.34</v>
      </c>
      <c r="F86" s="63"/>
      <c r="G86" s="48">
        <v>0.86899999999999999</v>
      </c>
      <c r="H86" s="25">
        <v>0</v>
      </c>
      <c r="I86" s="25">
        <v>0</v>
      </c>
      <c r="J86" s="26">
        <f t="shared" si="24"/>
        <v>0.86899999999999999</v>
      </c>
      <c r="K86" s="25">
        <v>0</v>
      </c>
      <c r="L86" s="24">
        <f>1.05*10</f>
        <v>10.5</v>
      </c>
      <c r="M86" s="5">
        <f t="shared" ref="M86:M94" si="26">L86-J86-K86</f>
        <v>9.6310000000000002</v>
      </c>
      <c r="N86" s="180"/>
      <c r="O86" s="160"/>
      <c r="P86" s="16"/>
      <c r="Q86" s="171"/>
      <c r="R86" s="27" t="s">
        <v>44</v>
      </c>
      <c r="S86" s="28" t="s">
        <v>38</v>
      </c>
      <c r="T86" s="85">
        <f>0.01+0.118+0.323+0.015+0.0151-0.3322+0.5914+1.075186-0.0151+1.0752+0.0054+0.0161+0.0161-0.594+0.0051</f>
        <v>2.3242859999999999</v>
      </c>
      <c r="U86" s="47">
        <f t="shared" si="23"/>
        <v>3.1932859999999996</v>
      </c>
      <c r="V86" s="25">
        <v>0</v>
      </c>
      <c r="W86" s="25">
        <v>0</v>
      </c>
      <c r="X86" s="26">
        <f t="shared" si="25"/>
        <v>3.1932859999999996</v>
      </c>
      <c r="Y86" s="25">
        <v>0</v>
      </c>
      <c r="Z86" s="24">
        <f>1.05*10</f>
        <v>10.5</v>
      </c>
      <c r="AA86" s="5">
        <f t="shared" ref="AA86:AA94" si="27">Z86-X86-Y86</f>
        <v>7.3067140000000004</v>
      </c>
      <c r="AB86" s="133"/>
      <c r="AC86" s="168"/>
    </row>
    <row r="87" spans="1:29" s="1" customFormat="1" ht="22.5" x14ac:dyDescent="0.2">
      <c r="A87" s="18">
        <v>54</v>
      </c>
      <c r="B87" s="25" t="s">
        <v>88</v>
      </c>
      <c r="C87" s="63" t="s">
        <v>26</v>
      </c>
      <c r="D87" s="63">
        <v>3.5720000000000001</v>
      </c>
      <c r="E87" s="63">
        <v>0.92500000000000004</v>
      </c>
      <c r="F87" s="63"/>
      <c r="G87" s="48">
        <v>3.69</v>
      </c>
      <c r="H87" s="25">
        <v>0</v>
      </c>
      <c r="I87" s="25">
        <v>0</v>
      </c>
      <c r="J87" s="26">
        <f t="shared" si="24"/>
        <v>3.69</v>
      </c>
      <c r="K87" s="25">
        <v>0</v>
      </c>
      <c r="L87" s="24">
        <f>1.05*10</f>
        <v>10.5</v>
      </c>
      <c r="M87" s="6">
        <f t="shared" si="26"/>
        <v>6.8100000000000005</v>
      </c>
      <c r="N87" s="48">
        <f t="shared" ref="N87:N93" si="28">M87</f>
        <v>6.8100000000000005</v>
      </c>
      <c r="O87" s="17" t="s">
        <v>24</v>
      </c>
      <c r="P87" s="16"/>
      <c r="Q87" s="18">
        <v>54</v>
      </c>
      <c r="R87" s="25" t="s">
        <v>88</v>
      </c>
      <c r="S87" s="28" t="s">
        <v>26</v>
      </c>
      <c r="T87" s="85">
        <f>0.493+0.107+0.005+0.016+0.005+0.022+0.045+0.125+0.039+0.028+0.147+0.33+0.032+0.0054+0.021-0.4559+0.0032+0.0161+0.0538+0.0108+0.094+0.0269+0.121+0.0376+0.0484+0.043545+0.687-0.2532+0.0108+0.1814+0.0242+0.0511+1.036+0.0372+0.0548+0.1054+0.5435+0.0554+0.0358-0.8035+0.0358</f>
        <v>3.2215449999999999</v>
      </c>
      <c r="U87" s="47">
        <f t="shared" si="23"/>
        <v>6.9115450000000003</v>
      </c>
      <c r="V87" s="25">
        <v>0</v>
      </c>
      <c r="W87" s="25">
        <v>0</v>
      </c>
      <c r="X87" s="26">
        <f t="shared" si="25"/>
        <v>6.9115450000000003</v>
      </c>
      <c r="Y87" s="25">
        <v>0</v>
      </c>
      <c r="Z87" s="24">
        <f>1.05*10</f>
        <v>10.5</v>
      </c>
      <c r="AA87" s="6">
        <f t="shared" si="27"/>
        <v>3.5884549999999997</v>
      </c>
      <c r="AB87" s="48">
        <f t="shared" ref="AB87:AB93" si="29">AA87</f>
        <v>3.5884549999999997</v>
      </c>
      <c r="AC87" s="12" t="s">
        <v>24</v>
      </c>
    </row>
    <row r="88" spans="1:29" s="1" customFormat="1" ht="22.5" x14ac:dyDescent="0.2">
      <c r="A88" s="18">
        <v>55</v>
      </c>
      <c r="B88" s="65" t="s">
        <v>89</v>
      </c>
      <c r="C88" s="63" t="s">
        <v>29</v>
      </c>
      <c r="D88" s="63">
        <v>2.8279999999999998</v>
      </c>
      <c r="E88" s="63">
        <v>1.095</v>
      </c>
      <c r="F88" s="63"/>
      <c r="G88" s="48">
        <v>3.032</v>
      </c>
      <c r="H88" s="25">
        <v>0</v>
      </c>
      <c r="I88" s="25">
        <v>0</v>
      </c>
      <c r="J88" s="26">
        <f t="shared" si="24"/>
        <v>3.032</v>
      </c>
      <c r="K88" s="25">
        <v>0</v>
      </c>
      <c r="L88" s="24">
        <f>1.05*6.3</f>
        <v>6.6150000000000002</v>
      </c>
      <c r="M88" s="6">
        <f t="shared" si="26"/>
        <v>3.5830000000000002</v>
      </c>
      <c r="N88" s="48">
        <f t="shared" si="28"/>
        <v>3.5830000000000002</v>
      </c>
      <c r="O88" s="17" t="s">
        <v>24</v>
      </c>
      <c r="P88" s="16"/>
      <c r="Q88" s="18">
        <v>55</v>
      </c>
      <c r="R88" s="25" t="s">
        <v>89</v>
      </c>
      <c r="S88" s="28" t="s">
        <v>29</v>
      </c>
      <c r="T88" s="85">
        <f>0.007+0.005+0.011+0.005+0.005+0.021+0.091+0.022+0.021+0.05+0.022+0.0027-0.1124+0.0373+0.0032+0.0011+0.0323+0.005+0.0253+0.1118+0.0161+0.013977+0.0108-0.0715+0.0054+0.0294+0.0175+0.0161+0.0226+0.0234+0.0229-0.1+0.0505</f>
        <v>0.42347699999999999</v>
      </c>
      <c r="U88" s="47">
        <f t="shared" si="23"/>
        <v>3.4554770000000001</v>
      </c>
      <c r="V88" s="25">
        <v>0</v>
      </c>
      <c r="W88" s="25">
        <v>0</v>
      </c>
      <c r="X88" s="26">
        <f t="shared" si="25"/>
        <v>3.4554770000000001</v>
      </c>
      <c r="Y88" s="25">
        <v>0</v>
      </c>
      <c r="Z88" s="24">
        <f>1.05*6.3</f>
        <v>6.6150000000000002</v>
      </c>
      <c r="AA88" s="6">
        <f t="shared" si="27"/>
        <v>3.1595230000000001</v>
      </c>
      <c r="AB88" s="48">
        <f t="shared" si="29"/>
        <v>3.1595230000000001</v>
      </c>
      <c r="AC88" s="12" t="s">
        <v>24</v>
      </c>
    </row>
    <row r="89" spans="1:29" s="1" customFormat="1" ht="22.5" x14ac:dyDescent="0.2">
      <c r="A89" s="18">
        <v>56</v>
      </c>
      <c r="B89" s="25" t="s">
        <v>91</v>
      </c>
      <c r="C89" s="63" t="s">
        <v>30</v>
      </c>
      <c r="D89" s="63"/>
      <c r="E89" s="63"/>
      <c r="F89" s="63"/>
      <c r="G89" s="48">
        <v>5.6449999999999996</v>
      </c>
      <c r="H89" s="25">
        <v>0</v>
      </c>
      <c r="I89" s="25">
        <v>0</v>
      </c>
      <c r="J89" s="24">
        <f t="shared" si="24"/>
        <v>5.6449999999999996</v>
      </c>
      <c r="K89" s="25">
        <v>0</v>
      </c>
      <c r="L89" s="24">
        <f>1.05*16</f>
        <v>16.8</v>
      </c>
      <c r="M89" s="6">
        <f t="shared" si="26"/>
        <v>11.155000000000001</v>
      </c>
      <c r="N89" s="48">
        <f t="shared" si="28"/>
        <v>11.155000000000001</v>
      </c>
      <c r="O89" s="17" t="s">
        <v>24</v>
      </c>
      <c r="P89" s="16"/>
      <c r="Q89" s="18">
        <v>56</v>
      </c>
      <c r="R89" s="25" t="s">
        <v>91</v>
      </c>
      <c r="S89" s="28" t="s">
        <v>30</v>
      </c>
      <c r="T89" s="85">
        <f>0.097+0.032-0.0323+0.2113+0.9666</f>
        <v>1.2746</v>
      </c>
      <c r="U89" s="47">
        <f t="shared" si="23"/>
        <v>6.9195999999999991</v>
      </c>
      <c r="V89" s="25">
        <v>0</v>
      </c>
      <c r="W89" s="25">
        <v>0</v>
      </c>
      <c r="X89" s="26">
        <f t="shared" si="25"/>
        <v>6.9195999999999991</v>
      </c>
      <c r="Y89" s="25">
        <v>0</v>
      </c>
      <c r="Z89" s="24">
        <f>1.05*16</f>
        <v>16.8</v>
      </c>
      <c r="AA89" s="6">
        <f t="shared" si="27"/>
        <v>9.8804000000000016</v>
      </c>
      <c r="AB89" s="48">
        <f t="shared" si="29"/>
        <v>9.8804000000000016</v>
      </c>
      <c r="AC89" s="12" t="s">
        <v>24</v>
      </c>
    </row>
    <row r="90" spans="1:29" s="1" customFormat="1" ht="22.5" x14ac:dyDescent="0.2">
      <c r="A90" s="18">
        <v>57</v>
      </c>
      <c r="B90" s="65" t="s">
        <v>93</v>
      </c>
      <c r="C90" s="63" t="s">
        <v>225</v>
      </c>
      <c r="D90" s="63">
        <v>39.15</v>
      </c>
      <c r="E90" s="63">
        <v>8.9499999999999993</v>
      </c>
      <c r="F90" s="63"/>
      <c r="G90" s="82">
        <v>40.159999999999997</v>
      </c>
      <c r="H90" s="65">
        <v>0</v>
      </c>
      <c r="I90" s="65">
        <v>0</v>
      </c>
      <c r="J90" s="64">
        <f t="shared" si="24"/>
        <v>40.159999999999997</v>
      </c>
      <c r="K90" s="65">
        <v>0</v>
      </c>
      <c r="L90" s="66">
        <f>1.05*65</f>
        <v>68.25</v>
      </c>
      <c r="M90" s="2">
        <f t="shared" si="26"/>
        <v>28.090000000000003</v>
      </c>
      <c r="N90" s="82">
        <f t="shared" si="28"/>
        <v>28.090000000000003</v>
      </c>
      <c r="O90" s="17" t="s">
        <v>24</v>
      </c>
      <c r="P90" s="16"/>
      <c r="Q90" s="18">
        <v>57</v>
      </c>
      <c r="R90" s="25" t="s">
        <v>93</v>
      </c>
      <c r="S90" s="28" t="s">
        <v>225</v>
      </c>
      <c r="T90" s="85">
        <f>6.452+1.193+3.232+0.955+3.396+0.523+0.492+1.623+0.715+0.019+1.0633+0.3451-1.4687+0.1032+0.1989+1.0763+1.1015+0.877+0.501+0.3933+0.0263+0.005376+1.145-0.5864-11.7824+0.4611+0.0081+7.6983+0.4408+2.3323+0.5242+0.0108+1.6397+1.845-2.3966+1.845+1.6354</f>
        <v>27.642875999999998</v>
      </c>
      <c r="U90" s="47">
        <f t="shared" si="23"/>
        <v>67.802875999999998</v>
      </c>
      <c r="V90" s="25">
        <v>0</v>
      </c>
      <c r="W90" s="25">
        <v>0</v>
      </c>
      <c r="X90" s="26">
        <f t="shared" si="25"/>
        <v>67.802875999999998</v>
      </c>
      <c r="Y90" s="25">
        <v>0</v>
      </c>
      <c r="Z90" s="24">
        <f>1.05*65</f>
        <v>68.25</v>
      </c>
      <c r="AA90" s="6">
        <f t="shared" si="27"/>
        <v>0.4471240000000023</v>
      </c>
      <c r="AB90" s="48">
        <f t="shared" si="29"/>
        <v>0.4471240000000023</v>
      </c>
      <c r="AC90" s="12" t="s">
        <v>24</v>
      </c>
    </row>
    <row r="91" spans="1:29" s="1" customFormat="1" ht="27.75" customHeight="1" x14ac:dyDescent="0.2">
      <c r="A91" s="18">
        <v>58</v>
      </c>
      <c r="B91" s="25" t="s">
        <v>94</v>
      </c>
      <c r="C91" s="63" t="s">
        <v>58</v>
      </c>
      <c r="D91" s="63">
        <v>28.78</v>
      </c>
      <c r="E91" s="63">
        <v>11.92</v>
      </c>
      <c r="F91" s="63"/>
      <c r="G91" s="48">
        <v>31.151</v>
      </c>
      <c r="H91" s="25">
        <v>0</v>
      </c>
      <c r="I91" s="25">
        <v>0</v>
      </c>
      <c r="J91" s="26">
        <f t="shared" si="24"/>
        <v>31.151</v>
      </c>
      <c r="K91" s="25">
        <v>0</v>
      </c>
      <c r="L91" s="24">
        <f>1.05*71.5</f>
        <v>75.075000000000003</v>
      </c>
      <c r="M91" s="6">
        <f t="shared" si="26"/>
        <v>43.924000000000007</v>
      </c>
      <c r="N91" s="48">
        <f t="shared" si="28"/>
        <v>43.924000000000007</v>
      </c>
      <c r="O91" s="17" t="s">
        <v>24</v>
      </c>
      <c r="P91" s="16"/>
      <c r="Q91" s="18">
        <v>58</v>
      </c>
      <c r="R91" s="25" t="s">
        <v>94</v>
      </c>
      <c r="S91" s="28" t="s">
        <v>58</v>
      </c>
      <c r="T91" s="85">
        <f>0.178+0.2688+0.1484+1.1572</f>
        <v>1.7524</v>
      </c>
      <c r="U91" s="47">
        <f t="shared" si="23"/>
        <v>32.903399999999998</v>
      </c>
      <c r="V91" s="25">
        <v>0</v>
      </c>
      <c r="W91" s="25">
        <v>0</v>
      </c>
      <c r="X91" s="26">
        <f t="shared" si="25"/>
        <v>32.903399999999998</v>
      </c>
      <c r="Y91" s="25">
        <v>0</v>
      </c>
      <c r="Z91" s="24">
        <f>1.05*71.5</f>
        <v>75.075000000000003</v>
      </c>
      <c r="AA91" s="6">
        <f t="shared" si="27"/>
        <v>42.171600000000005</v>
      </c>
      <c r="AB91" s="48">
        <f t="shared" si="29"/>
        <v>42.171600000000005</v>
      </c>
      <c r="AC91" s="12" t="s">
        <v>24</v>
      </c>
    </row>
    <row r="92" spans="1:29" s="1" customFormat="1" ht="22.5" x14ac:dyDescent="0.2">
      <c r="A92" s="18">
        <v>59</v>
      </c>
      <c r="B92" s="25" t="s">
        <v>95</v>
      </c>
      <c r="C92" s="63" t="s">
        <v>26</v>
      </c>
      <c r="D92" s="63"/>
      <c r="E92" s="63"/>
      <c r="F92" s="63"/>
      <c r="G92" s="48">
        <v>4.9539999999999997</v>
      </c>
      <c r="H92" s="25">
        <v>0</v>
      </c>
      <c r="I92" s="25">
        <v>0</v>
      </c>
      <c r="J92" s="26">
        <f t="shared" si="24"/>
        <v>4.9539999999999997</v>
      </c>
      <c r="K92" s="25">
        <v>0</v>
      </c>
      <c r="L92" s="24">
        <f>1.05*10</f>
        <v>10.5</v>
      </c>
      <c r="M92" s="6">
        <f t="shared" si="26"/>
        <v>5.5460000000000003</v>
      </c>
      <c r="N92" s="48">
        <f t="shared" si="28"/>
        <v>5.5460000000000003</v>
      </c>
      <c r="O92" s="17" t="s">
        <v>24</v>
      </c>
      <c r="P92" s="16"/>
      <c r="Q92" s="18">
        <v>59</v>
      </c>
      <c r="R92" s="65" t="s">
        <v>95</v>
      </c>
      <c r="S92" s="63" t="s">
        <v>26</v>
      </c>
      <c r="T92" s="81">
        <f>0.149+0.005+0.014+0.001+0.021+0.015+0.005+0.123+0.022+0.053+0.005+0.129+0.0296+0.0183-0.0887+0.0441+0.0054+0.0591+0.0285+0.022+0.014+0.0382+0.0331+0.0161+0.021504+0.2183-0.215+0.0591+0.3616+0.0304+0.3269+0.032+0.0068+0.5806+0.067+0.0441+0.082-0.6175+0.082+0.0215</f>
        <v>1.8630039999999999</v>
      </c>
      <c r="U92" s="79">
        <f t="shared" si="23"/>
        <v>6.8170039999999998</v>
      </c>
      <c r="V92" s="65">
        <v>0</v>
      </c>
      <c r="W92" s="65">
        <v>0</v>
      </c>
      <c r="X92" s="64">
        <f t="shared" si="25"/>
        <v>6.8170039999999998</v>
      </c>
      <c r="Y92" s="65">
        <v>0</v>
      </c>
      <c r="Z92" s="66">
        <f>1.05*10</f>
        <v>10.5</v>
      </c>
      <c r="AA92" s="2">
        <f t="shared" si="27"/>
        <v>3.6829960000000002</v>
      </c>
      <c r="AB92" s="82">
        <f t="shared" si="29"/>
        <v>3.6829960000000002</v>
      </c>
      <c r="AC92" s="18" t="s">
        <v>24</v>
      </c>
    </row>
    <row r="93" spans="1:29" s="1" customFormat="1" ht="22.5" customHeight="1" x14ac:dyDescent="0.2">
      <c r="A93" s="18">
        <v>60</v>
      </c>
      <c r="B93" s="25" t="s">
        <v>96</v>
      </c>
      <c r="C93" s="63" t="s">
        <v>35</v>
      </c>
      <c r="D93" s="63">
        <v>14.39</v>
      </c>
      <c r="E93" s="63">
        <v>7.26</v>
      </c>
      <c r="F93" s="63"/>
      <c r="G93" s="48">
        <v>16.117999999999999</v>
      </c>
      <c r="H93" s="25">
        <v>0</v>
      </c>
      <c r="I93" s="25">
        <v>0</v>
      </c>
      <c r="J93" s="26">
        <f t="shared" si="24"/>
        <v>16.117999999999999</v>
      </c>
      <c r="K93" s="25">
        <v>0</v>
      </c>
      <c r="L93" s="24">
        <f>1.05*20</f>
        <v>21</v>
      </c>
      <c r="M93" s="6">
        <f t="shared" si="26"/>
        <v>4.8820000000000014</v>
      </c>
      <c r="N93" s="48">
        <f t="shared" si="28"/>
        <v>4.8820000000000014</v>
      </c>
      <c r="O93" s="17" t="s">
        <v>24</v>
      </c>
      <c r="P93" s="16"/>
      <c r="Q93" s="18">
        <v>60</v>
      </c>
      <c r="R93" s="25" t="s">
        <v>96</v>
      </c>
      <c r="S93" s="28" t="s">
        <v>35</v>
      </c>
      <c r="T93" s="85">
        <f>0.1742+1.542</f>
        <v>1.7161999999999999</v>
      </c>
      <c r="U93" s="47">
        <f t="shared" si="23"/>
        <v>17.834199999999999</v>
      </c>
      <c r="V93" s="25">
        <v>0</v>
      </c>
      <c r="W93" s="25">
        <v>0</v>
      </c>
      <c r="X93" s="26">
        <f t="shared" si="25"/>
        <v>17.834199999999999</v>
      </c>
      <c r="Y93" s="25">
        <v>0</v>
      </c>
      <c r="Z93" s="24">
        <f>1.05*20</f>
        <v>21</v>
      </c>
      <c r="AA93" s="6">
        <f t="shared" si="27"/>
        <v>3.1658000000000008</v>
      </c>
      <c r="AB93" s="48">
        <f t="shared" si="29"/>
        <v>3.1658000000000008</v>
      </c>
      <c r="AC93" s="12" t="s">
        <v>24</v>
      </c>
    </row>
    <row r="94" spans="1:29" s="1" customFormat="1" ht="21.75" customHeight="1" x14ac:dyDescent="0.2">
      <c r="A94" s="169">
        <v>61</v>
      </c>
      <c r="B94" s="25" t="s">
        <v>98</v>
      </c>
      <c r="C94" s="93" t="s">
        <v>30</v>
      </c>
      <c r="D94" s="93">
        <f>D95+D96</f>
        <v>11.280000000000001</v>
      </c>
      <c r="E94" s="93">
        <f>E95+E96</f>
        <v>3.41</v>
      </c>
      <c r="F94" s="93"/>
      <c r="G94" s="50">
        <f>G95+G96</f>
        <v>11.785</v>
      </c>
      <c r="H94" s="25">
        <f>H95+H96</f>
        <v>4.8</v>
      </c>
      <c r="I94" s="25" t="s">
        <v>57</v>
      </c>
      <c r="J94" s="26">
        <f t="shared" si="24"/>
        <v>6.9850000000000003</v>
      </c>
      <c r="K94" s="25">
        <v>0</v>
      </c>
      <c r="L94" s="24">
        <f>1.05*16</f>
        <v>16.8</v>
      </c>
      <c r="M94" s="5">
        <f t="shared" si="26"/>
        <v>9.8150000000000013</v>
      </c>
      <c r="N94" s="157">
        <f>MIN(M94:M96)</f>
        <v>9.8150000000000013</v>
      </c>
      <c r="O94" s="158" t="s">
        <v>24</v>
      </c>
      <c r="P94" s="16"/>
      <c r="Q94" s="169">
        <v>61</v>
      </c>
      <c r="R94" s="25" t="s">
        <v>98</v>
      </c>
      <c r="S94" s="28" t="s">
        <v>30</v>
      </c>
      <c r="T94" s="85">
        <f>T95+T96</f>
        <v>0.45590000000000003</v>
      </c>
      <c r="U94" s="47">
        <f>U95+U96</f>
        <v>12.2409</v>
      </c>
      <c r="V94" s="25">
        <f>V95+V96</f>
        <v>4.8</v>
      </c>
      <c r="W94" s="25" t="s">
        <v>57</v>
      </c>
      <c r="X94" s="26">
        <f t="shared" si="25"/>
        <v>7.4409000000000001</v>
      </c>
      <c r="Y94" s="25">
        <v>0</v>
      </c>
      <c r="Z94" s="24">
        <f>1.05*16</f>
        <v>16.8</v>
      </c>
      <c r="AA94" s="5">
        <f t="shared" si="27"/>
        <v>9.3591000000000015</v>
      </c>
      <c r="AB94" s="129">
        <f>MIN(AA94:AA96)</f>
        <v>9.3591000000000015</v>
      </c>
      <c r="AC94" s="158" t="s">
        <v>24</v>
      </c>
    </row>
    <row r="95" spans="1:29" s="1" customFormat="1" ht="20.25" hidden="1" customHeight="1" x14ac:dyDescent="0.2">
      <c r="A95" s="170"/>
      <c r="B95" s="33" t="s">
        <v>56</v>
      </c>
      <c r="C95" s="63" t="s">
        <v>30</v>
      </c>
      <c r="D95" s="63">
        <v>4.59</v>
      </c>
      <c r="E95" s="63">
        <v>1.41</v>
      </c>
      <c r="F95" s="63"/>
      <c r="G95" s="48">
        <v>4.8019999999999996</v>
      </c>
      <c r="H95" s="25">
        <v>4.8</v>
      </c>
      <c r="I95" s="25" t="s">
        <v>57</v>
      </c>
      <c r="J95" s="26">
        <f t="shared" si="24"/>
        <v>1.9999999999997797E-3</v>
      </c>
      <c r="K95" s="25">
        <v>0</v>
      </c>
      <c r="L95" s="24">
        <f>1.05*16</f>
        <v>16.8</v>
      </c>
      <c r="M95" s="5">
        <f>L95-G95</f>
        <v>11.998000000000001</v>
      </c>
      <c r="N95" s="179"/>
      <c r="O95" s="167"/>
      <c r="P95" s="16"/>
      <c r="Q95" s="170"/>
      <c r="R95" s="27" t="s">
        <v>56</v>
      </c>
      <c r="S95" s="28" t="s">
        <v>30</v>
      </c>
      <c r="T95" s="85"/>
      <c r="U95" s="47">
        <f t="shared" si="23"/>
        <v>4.8019999999999996</v>
      </c>
      <c r="V95" s="25">
        <v>4.8</v>
      </c>
      <c r="W95" s="25" t="s">
        <v>57</v>
      </c>
      <c r="X95" s="26">
        <f t="shared" si="25"/>
        <v>1.9999999999997797E-3</v>
      </c>
      <c r="Y95" s="25">
        <v>0</v>
      </c>
      <c r="Z95" s="24">
        <f>1.05*16</f>
        <v>16.8</v>
      </c>
      <c r="AA95" s="5">
        <f>Z95-U95</f>
        <v>11.998000000000001</v>
      </c>
      <c r="AB95" s="132"/>
      <c r="AC95" s="167"/>
    </row>
    <row r="96" spans="1:29" s="1" customFormat="1" ht="20.25" hidden="1" customHeight="1" x14ac:dyDescent="0.2">
      <c r="A96" s="171"/>
      <c r="B96" s="27" t="s">
        <v>44</v>
      </c>
      <c r="C96" s="63" t="s">
        <v>30</v>
      </c>
      <c r="D96" s="63">
        <v>6.69</v>
      </c>
      <c r="E96" s="63">
        <v>2</v>
      </c>
      <c r="F96" s="63"/>
      <c r="G96" s="48">
        <v>6.9829999999999997</v>
      </c>
      <c r="H96" s="25">
        <v>0</v>
      </c>
      <c r="I96" s="25">
        <v>0</v>
      </c>
      <c r="J96" s="26">
        <f t="shared" si="24"/>
        <v>6.9829999999999997</v>
      </c>
      <c r="K96" s="25">
        <v>0</v>
      </c>
      <c r="L96" s="24">
        <f>1.05*16</f>
        <v>16.8</v>
      </c>
      <c r="M96" s="5">
        <f t="shared" ref="M96:M101" si="30">L96-J96-K96</f>
        <v>9.8170000000000002</v>
      </c>
      <c r="N96" s="180"/>
      <c r="O96" s="168"/>
      <c r="P96" s="16"/>
      <c r="Q96" s="171"/>
      <c r="R96" s="27" t="s">
        <v>44</v>
      </c>
      <c r="S96" s="28" t="s">
        <v>30</v>
      </c>
      <c r="T96" s="85">
        <f>0.16+0.006+0.005+0.009+0.0223-0.0296+0.009+0.0038-0.0215+0.0215+0.2419+0.0215+0.0161-0.0091</f>
        <v>0.45590000000000003</v>
      </c>
      <c r="U96" s="47">
        <f t="shared" si="23"/>
        <v>7.4388999999999994</v>
      </c>
      <c r="V96" s="25">
        <v>0</v>
      </c>
      <c r="W96" s="25">
        <v>0</v>
      </c>
      <c r="X96" s="26">
        <f t="shared" si="25"/>
        <v>7.4388999999999994</v>
      </c>
      <c r="Y96" s="25">
        <v>0</v>
      </c>
      <c r="Z96" s="24">
        <f>1.05*16</f>
        <v>16.8</v>
      </c>
      <c r="AA96" s="5">
        <f t="shared" ref="AA96:AA101" si="31">Z96-X96-Y96</f>
        <v>9.3611000000000004</v>
      </c>
      <c r="AB96" s="133"/>
      <c r="AC96" s="168"/>
    </row>
    <row r="97" spans="1:29" s="74" customFormat="1" ht="22.5" x14ac:dyDescent="0.2">
      <c r="A97" s="18">
        <v>62</v>
      </c>
      <c r="B97" s="65" t="s">
        <v>100</v>
      </c>
      <c r="C97" s="63" t="s">
        <v>48</v>
      </c>
      <c r="D97" s="63">
        <v>14.85</v>
      </c>
      <c r="E97" s="63">
        <v>5.18</v>
      </c>
      <c r="F97" s="63"/>
      <c r="G97" s="82">
        <v>15.728</v>
      </c>
      <c r="H97" s="65">
        <v>0</v>
      </c>
      <c r="I97" s="65">
        <v>0</v>
      </c>
      <c r="J97" s="64">
        <f t="shared" si="24"/>
        <v>15.728</v>
      </c>
      <c r="K97" s="65">
        <v>0</v>
      </c>
      <c r="L97" s="66">
        <f>1.05*16</f>
        <v>16.8</v>
      </c>
      <c r="M97" s="2">
        <f t="shared" si="30"/>
        <v>1.072000000000001</v>
      </c>
      <c r="N97" s="82">
        <f>M97</f>
        <v>1.072000000000001</v>
      </c>
      <c r="O97" s="97" t="s">
        <v>24</v>
      </c>
      <c r="P97" s="104"/>
      <c r="Q97" s="18">
        <v>62</v>
      </c>
      <c r="R97" s="65" t="s">
        <v>100</v>
      </c>
      <c r="S97" s="63" t="s">
        <v>48</v>
      </c>
      <c r="T97" s="81">
        <f>0.238+0.6451+0.0068</f>
        <v>0.88990000000000002</v>
      </c>
      <c r="U97" s="79">
        <f t="shared" si="23"/>
        <v>16.617899999999999</v>
      </c>
      <c r="V97" s="65">
        <v>0</v>
      </c>
      <c r="W97" s="65">
        <v>0</v>
      </c>
      <c r="X97" s="64">
        <f t="shared" si="25"/>
        <v>16.617899999999999</v>
      </c>
      <c r="Y97" s="65">
        <v>0</v>
      </c>
      <c r="Z97" s="66">
        <f>1.05*16</f>
        <v>16.8</v>
      </c>
      <c r="AA97" s="2">
        <f t="shared" si="31"/>
        <v>0.18210000000000193</v>
      </c>
      <c r="AB97" s="82">
        <f>AA97</f>
        <v>0.18210000000000193</v>
      </c>
      <c r="AC97" s="18" t="s">
        <v>24</v>
      </c>
    </row>
    <row r="98" spans="1:29" s="1" customFormat="1" ht="22.5" x14ac:dyDescent="0.2">
      <c r="A98" s="18">
        <v>63</v>
      </c>
      <c r="B98" s="18" t="s">
        <v>154</v>
      </c>
      <c r="C98" s="69" t="s">
        <v>49</v>
      </c>
      <c r="D98" s="69">
        <v>0.85499999999999998</v>
      </c>
      <c r="E98" s="69">
        <v>0.48899999999999999</v>
      </c>
      <c r="F98" s="69"/>
      <c r="G98" s="47">
        <v>0.98499999999999999</v>
      </c>
      <c r="H98" s="25">
        <v>0</v>
      </c>
      <c r="I98" s="25">
        <v>0</v>
      </c>
      <c r="J98" s="26">
        <f t="shared" si="24"/>
        <v>0.98499999999999999</v>
      </c>
      <c r="K98" s="25">
        <v>0</v>
      </c>
      <c r="L98" s="24">
        <f>1.05*2.5</f>
        <v>2.625</v>
      </c>
      <c r="M98" s="6">
        <f t="shared" si="30"/>
        <v>1.6400000000000001</v>
      </c>
      <c r="N98" s="48">
        <f>M98</f>
        <v>1.6400000000000001</v>
      </c>
      <c r="O98" s="17" t="s">
        <v>24</v>
      </c>
      <c r="P98" s="16"/>
      <c r="Q98" s="18">
        <v>63</v>
      </c>
      <c r="R98" s="12" t="s">
        <v>154</v>
      </c>
      <c r="S98" s="15" t="s">
        <v>49</v>
      </c>
      <c r="T98" s="86">
        <f>0.022+0.0226+0.0054-0.0328+0.0054+0.0032+0.016-0.0311-0.0087</f>
        <v>2.0000000000000052E-3</v>
      </c>
      <c r="U98" s="47">
        <f t="shared" si="23"/>
        <v>0.98699999999999999</v>
      </c>
      <c r="V98" s="25">
        <v>0</v>
      </c>
      <c r="W98" s="25">
        <v>0</v>
      </c>
      <c r="X98" s="26">
        <f t="shared" si="25"/>
        <v>0.98699999999999999</v>
      </c>
      <c r="Y98" s="25">
        <v>0</v>
      </c>
      <c r="Z98" s="24">
        <f>1.05*2.5</f>
        <v>2.625</v>
      </c>
      <c r="AA98" s="6">
        <f t="shared" si="31"/>
        <v>1.6379999999999999</v>
      </c>
      <c r="AB98" s="48">
        <f>AA98</f>
        <v>1.6379999999999999</v>
      </c>
      <c r="AC98" s="12" t="s">
        <v>24</v>
      </c>
    </row>
    <row r="99" spans="1:29" s="1" customFormat="1" ht="22.5" x14ac:dyDescent="0.2">
      <c r="A99" s="18">
        <v>64</v>
      </c>
      <c r="B99" s="12" t="s">
        <v>155</v>
      </c>
      <c r="C99" s="69" t="s">
        <v>48</v>
      </c>
      <c r="D99" s="69">
        <v>3.6349999999999998</v>
      </c>
      <c r="E99" s="69">
        <v>1.929</v>
      </c>
      <c r="F99" s="69"/>
      <c r="G99" s="47">
        <v>4.165</v>
      </c>
      <c r="H99" s="25">
        <v>0</v>
      </c>
      <c r="I99" s="25">
        <v>0</v>
      </c>
      <c r="J99" s="26">
        <f t="shared" si="24"/>
        <v>4.165</v>
      </c>
      <c r="K99" s="25">
        <v>0</v>
      </c>
      <c r="L99" s="24">
        <f>1.05*16</f>
        <v>16.8</v>
      </c>
      <c r="M99" s="6">
        <f t="shared" si="30"/>
        <v>12.635000000000002</v>
      </c>
      <c r="N99" s="48">
        <f>M99</f>
        <v>12.635000000000002</v>
      </c>
      <c r="O99" s="17" t="s">
        <v>24</v>
      </c>
      <c r="P99" s="16"/>
      <c r="Q99" s="18">
        <v>64</v>
      </c>
      <c r="R99" s="12" t="s">
        <v>155</v>
      </c>
      <c r="S99" s="15" t="s">
        <v>48</v>
      </c>
      <c r="T99" s="86">
        <v>0</v>
      </c>
      <c r="U99" s="47">
        <f t="shared" si="23"/>
        <v>4.165</v>
      </c>
      <c r="V99" s="25">
        <v>0</v>
      </c>
      <c r="W99" s="25">
        <v>0</v>
      </c>
      <c r="X99" s="26">
        <f t="shared" si="25"/>
        <v>4.165</v>
      </c>
      <c r="Y99" s="25">
        <v>0</v>
      </c>
      <c r="Z99" s="24">
        <f>1.05*16</f>
        <v>16.8</v>
      </c>
      <c r="AA99" s="6">
        <f t="shared" si="31"/>
        <v>12.635000000000002</v>
      </c>
      <c r="AB99" s="48">
        <f>AA99</f>
        <v>12.635000000000002</v>
      </c>
      <c r="AC99" s="12" t="s">
        <v>24</v>
      </c>
    </row>
    <row r="100" spans="1:29" s="1" customFormat="1" ht="22.5" x14ac:dyDescent="0.2">
      <c r="A100" s="18">
        <v>65</v>
      </c>
      <c r="B100" s="18" t="s">
        <v>156</v>
      </c>
      <c r="C100" s="69" t="s">
        <v>41</v>
      </c>
      <c r="D100" s="69">
        <v>1.33</v>
      </c>
      <c r="E100" s="69">
        <v>0.52</v>
      </c>
      <c r="F100" s="69"/>
      <c r="G100" s="47">
        <v>1.452</v>
      </c>
      <c r="H100" s="25">
        <v>0</v>
      </c>
      <c r="I100" s="25">
        <v>0</v>
      </c>
      <c r="J100" s="26">
        <f t="shared" si="24"/>
        <v>1.452</v>
      </c>
      <c r="K100" s="25">
        <v>0</v>
      </c>
      <c r="L100" s="24">
        <f>1.05*4</f>
        <v>4.2</v>
      </c>
      <c r="M100" s="6">
        <f t="shared" si="30"/>
        <v>2.7480000000000002</v>
      </c>
      <c r="N100" s="48">
        <f>M100</f>
        <v>2.7480000000000002</v>
      </c>
      <c r="O100" s="17" t="s">
        <v>24</v>
      </c>
      <c r="P100" s="16"/>
      <c r="Q100" s="18">
        <v>65</v>
      </c>
      <c r="R100" s="12" t="s">
        <v>156</v>
      </c>
      <c r="S100" s="15" t="s">
        <v>41</v>
      </c>
      <c r="T100" s="86">
        <f>0.092+0.015+0.018+0.002+0.004+0.0161-0.0548+0.0054+0.0032+0.0054+0.0172+0.172+0.2398+0.0097-0.2226+0.2688-0.2838</f>
        <v>0.30739999999999995</v>
      </c>
      <c r="U100" s="47">
        <f t="shared" si="23"/>
        <v>1.7593999999999999</v>
      </c>
      <c r="V100" s="25">
        <v>0</v>
      </c>
      <c r="W100" s="25">
        <v>0</v>
      </c>
      <c r="X100" s="26">
        <f t="shared" si="25"/>
        <v>1.7593999999999999</v>
      </c>
      <c r="Y100" s="25">
        <v>0</v>
      </c>
      <c r="Z100" s="24">
        <f>1.05*4</f>
        <v>4.2</v>
      </c>
      <c r="AA100" s="6">
        <f t="shared" si="31"/>
        <v>2.4406000000000003</v>
      </c>
      <c r="AB100" s="48">
        <f>AA100</f>
        <v>2.4406000000000003</v>
      </c>
      <c r="AC100" s="12" t="s">
        <v>24</v>
      </c>
    </row>
    <row r="101" spans="1:29" s="1" customFormat="1" ht="22.5" x14ac:dyDescent="0.2">
      <c r="A101" s="169">
        <v>66</v>
      </c>
      <c r="B101" s="18" t="s">
        <v>157</v>
      </c>
      <c r="C101" s="69" t="s">
        <v>46</v>
      </c>
      <c r="D101" s="69">
        <f>D102+D103</f>
        <v>2.0579999999999998</v>
      </c>
      <c r="E101" s="69">
        <f>E102+E103</f>
        <v>0.79</v>
      </c>
      <c r="F101" s="69"/>
      <c r="G101" s="47">
        <f>G102+G103</f>
        <v>2.2000000000000002</v>
      </c>
      <c r="H101" s="25">
        <f>H102+H103</f>
        <v>0.54</v>
      </c>
      <c r="I101" s="25" t="str">
        <f>I102</f>
        <v>3 час</v>
      </c>
      <c r="J101" s="26">
        <f t="shared" si="24"/>
        <v>1.6600000000000001</v>
      </c>
      <c r="K101" s="25">
        <v>0</v>
      </c>
      <c r="L101" s="24">
        <f>1.05*6.3</f>
        <v>6.6150000000000002</v>
      </c>
      <c r="M101" s="5">
        <f t="shared" si="30"/>
        <v>4.9550000000000001</v>
      </c>
      <c r="N101" s="157">
        <f>MIN(M101:M103)</f>
        <v>4.7469999999999999</v>
      </c>
      <c r="O101" s="158" t="s">
        <v>24</v>
      </c>
      <c r="P101" s="16"/>
      <c r="Q101" s="169">
        <v>66</v>
      </c>
      <c r="R101" s="12" t="s">
        <v>157</v>
      </c>
      <c r="S101" s="15" t="s">
        <v>46</v>
      </c>
      <c r="T101" s="86">
        <f>T102+T103</f>
        <v>3.5482</v>
      </c>
      <c r="U101" s="47">
        <f>U102+U103</f>
        <v>5.7481999999999998</v>
      </c>
      <c r="V101" s="25">
        <f>V102+V103</f>
        <v>0.54</v>
      </c>
      <c r="W101" s="25" t="str">
        <f>W102</f>
        <v>3 час</v>
      </c>
      <c r="X101" s="26">
        <f t="shared" si="25"/>
        <v>5.2081999999999997</v>
      </c>
      <c r="Y101" s="25">
        <v>0</v>
      </c>
      <c r="Z101" s="24">
        <f>1.05*6.3</f>
        <v>6.6150000000000002</v>
      </c>
      <c r="AA101" s="5">
        <f t="shared" si="31"/>
        <v>1.4068000000000005</v>
      </c>
      <c r="AB101" s="129">
        <f>MIN(AA101:AA103)</f>
        <v>1.1988000000000003</v>
      </c>
      <c r="AC101" s="158" t="s">
        <v>24</v>
      </c>
    </row>
    <row r="102" spans="1:29" s="1" customFormat="1" ht="24.75" hidden="1" customHeight="1" x14ac:dyDescent="0.2">
      <c r="A102" s="170"/>
      <c r="B102" s="27" t="s">
        <v>56</v>
      </c>
      <c r="C102" s="69" t="s">
        <v>46</v>
      </c>
      <c r="D102" s="69">
        <v>0.20699999999999999</v>
      </c>
      <c r="E102" s="69">
        <v>0.26</v>
      </c>
      <c r="F102" s="69"/>
      <c r="G102" s="69">
        <v>0.33200000000000002</v>
      </c>
      <c r="H102" s="25">
        <v>0.54</v>
      </c>
      <c r="I102" s="25" t="s">
        <v>55</v>
      </c>
      <c r="J102" s="26">
        <v>0</v>
      </c>
      <c r="K102" s="25">
        <v>0</v>
      </c>
      <c r="L102" s="24">
        <f>1.05*6.3</f>
        <v>6.6150000000000002</v>
      </c>
      <c r="M102" s="5">
        <f>L102-G102</f>
        <v>6.2830000000000004</v>
      </c>
      <c r="N102" s="179"/>
      <c r="O102" s="159"/>
      <c r="P102" s="16"/>
      <c r="Q102" s="170"/>
      <c r="R102" s="27" t="s">
        <v>56</v>
      </c>
      <c r="S102" s="15" t="s">
        <v>46</v>
      </c>
      <c r="T102" s="86"/>
      <c r="U102" s="47">
        <f t="shared" si="23"/>
        <v>0.33200000000000002</v>
      </c>
      <c r="V102" s="25">
        <v>0.54</v>
      </c>
      <c r="W102" s="25" t="s">
        <v>55</v>
      </c>
      <c r="X102" s="26">
        <v>0</v>
      </c>
      <c r="Y102" s="25">
        <v>0</v>
      </c>
      <c r="Z102" s="24">
        <f>1.05*6.3</f>
        <v>6.6150000000000002</v>
      </c>
      <c r="AA102" s="5">
        <f>Z102-U102</f>
        <v>6.2830000000000004</v>
      </c>
      <c r="AB102" s="132"/>
      <c r="AC102" s="159"/>
    </row>
    <row r="103" spans="1:29" s="1" customFormat="1" ht="25.5" hidden="1" customHeight="1" x14ac:dyDescent="0.2">
      <c r="A103" s="171"/>
      <c r="B103" s="27" t="s">
        <v>44</v>
      </c>
      <c r="C103" s="69" t="s">
        <v>46</v>
      </c>
      <c r="D103" s="69">
        <v>1.851</v>
      </c>
      <c r="E103" s="69">
        <v>0.53</v>
      </c>
      <c r="F103" s="69"/>
      <c r="G103" s="48">
        <v>1.8680000000000001</v>
      </c>
      <c r="H103" s="25">
        <v>0</v>
      </c>
      <c r="I103" s="25">
        <v>0</v>
      </c>
      <c r="J103" s="26">
        <f t="shared" si="24"/>
        <v>1.8680000000000001</v>
      </c>
      <c r="K103" s="25">
        <v>0</v>
      </c>
      <c r="L103" s="24">
        <f>1.05*6.3</f>
        <v>6.6150000000000002</v>
      </c>
      <c r="M103" s="5">
        <f>L103-J103-K103</f>
        <v>4.7469999999999999</v>
      </c>
      <c r="N103" s="180"/>
      <c r="O103" s="160"/>
      <c r="P103" s="16"/>
      <c r="Q103" s="171"/>
      <c r="R103" s="27" t="s">
        <v>44</v>
      </c>
      <c r="S103" s="15" t="s">
        <v>46</v>
      </c>
      <c r="T103" s="86">
        <f>0.0161-0.0161+0.6452+2.903</f>
        <v>3.5482</v>
      </c>
      <c r="U103" s="47">
        <f t="shared" si="23"/>
        <v>5.4161999999999999</v>
      </c>
      <c r="V103" s="25">
        <v>0</v>
      </c>
      <c r="W103" s="25">
        <v>0</v>
      </c>
      <c r="X103" s="26">
        <f t="shared" si="25"/>
        <v>5.4161999999999999</v>
      </c>
      <c r="Y103" s="25">
        <v>0</v>
      </c>
      <c r="Z103" s="24">
        <f>1.05*6.3</f>
        <v>6.6150000000000002</v>
      </c>
      <c r="AA103" s="5">
        <f>Z103-X103-Y103</f>
        <v>1.1988000000000003</v>
      </c>
      <c r="AB103" s="133"/>
      <c r="AC103" s="160"/>
    </row>
    <row r="104" spans="1:29" s="1" customFormat="1" ht="22.5" x14ac:dyDescent="0.2">
      <c r="A104" s="18">
        <v>67</v>
      </c>
      <c r="B104" s="12" t="s">
        <v>158</v>
      </c>
      <c r="C104" s="69" t="s">
        <v>37</v>
      </c>
      <c r="D104" s="69"/>
      <c r="E104" s="69"/>
      <c r="F104" s="69"/>
      <c r="G104" s="47">
        <v>25.614000000000001</v>
      </c>
      <c r="H104" s="25">
        <v>0</v>
      </c>
      <c r="I104" s="25">
        <v>0</v>
      </c>
      <c r="J104" s="26">
        <f t="shared" si="24"/>
        <v>25.614000000000001</v>
      </c>
      <c r="K104" s="25">
        <v>0</v>
      </c>
      <c r="L104" s="24">
        <f>1.05*40</f>
        <v>42</v>
      </c>
      <c r="M104" s="6">
        <f>L104-J104-K104</f>
        <v>16.385999999999999</v>
      </c>
      <c r="N104" s="48">
        <f>M104</f>
        <v>16.385999999999999</v>
      </c>
      <c r="O104" s="17" t="s">
        <v>24</v>
      </c>
      <c r="P104" s="16"/>
      <c r="Q104" s="18">
        <v>67</v>
      </c>
      <c r="R104" s="12" t="s">
        <v>158</v>
      </c>
      <c r="S104" s="15" t="s">
        <v>37</v>
      </c>
      <c r="T104" s="86">
        <f>0.029+0.003+0.004+0.055-0.0234+0.0032-0.0167+0.0048+0.0075+0.0108-0.0097</f>
        <v>6.7499999999999991E-2</v>
      </c>
      <c r="U104" s="47">
        <f t="shared" si="23"/>
        <v>25.6815</v>
      </c>
      <c r="V104" s="25">
        <v>0</v>
      </c>
      <c r="W104" s="25">
        <v>0</v>
      </c>
      <c r="X104" s="26">
        <f t="shared" si="25"/>
        <v>25.6815</v>
      </c>
      <c r="Y104" s="25">
        <v>0</v>
      </c>
      <c r="Z104" s="24">
        <f>1.05*40</f>
        <v>42</v>
      </c>
      <c r="AA104" s="6">
        <f>Z104-X104-Y104</f>
        <v>16.3185</v>
      </c>
      <c r="AB104" s="48">
        <f>AA104</f>
        <v>16.3185</v>
      </c>
      <c r="AC104" s="12" t="s">
        <v>24</v>
      </c>
    </row>
    <row r="105" spans="1:29" s="1" customFormat="1" ht="22.5" x14ac:dyDescent="0.2">
      <c r="A105" s="18">
        <v>68</v>
      </c>
      <c r="B105" s="18" t="s">
        <v>162</v>
      </c>
      <c r="C105" s="69" t="s">
        <v>46</v>
      </c>
      <c r="D105" s="69">
        <v>3.73</v>
      </c>
      <c r="E105" s="69">
        <v>1.49</v>
      </c>
      <c r="F105" s="69"/>
      <c r="G105" s="47">
        <v>4.0170000000000003</v>
      </c>
      <c r="H105" s="25">
        <v>0</v>
      </c>
      <c r="I105" s="25">
        <v>0</v>
      </c>
      <c r="J105" s="26">
        <f t="shared" ref="J105:J132" si="32">G105-H105</f>
        <v>4.0170000000000003</v>
      </c>
      <c r="K105" s="25">
        <v>0</v>
      </c>
      <c r="L105" s="24">
        <f>1.05*6.3</f>
        <v>6.6150000000000002</v>
      </c>
      <c r="M105" s="6">
        <f>L105-J105-K105</f>
        <v>2.5979999999999999</v>
      </c>
      <c r="N105" s="48">
        <f>M105</f>
        <v>2.5979999999999999</v>
      </c>
      <c r="O105" s="17" t="s">
        <v>24</v>
      </c>
      <c r="P105" s="16"/>
      <c r="Q105" s="18">
        <v>68</v>
      </c>
      <c r="R105" s="12" t="s">
        <v>162</v>
      </c>
      <c r="S105" s="15" t="s">
        <v>46</v>
      </c>
      <c r="T105" s="86">
        <f>0.131+0.012+0.009+0.011+0.003+0.005+0.015+0.002+0.0323+0.0661+0.0075+0.0054+0.0065+0.019+0.0151+0.0172+0.0118+0.0538+0.023654-0.1618+0.0035+0.1114+0.029+0.0105+0.0065+0.0065+0.0839+0.1059+0.0098+0.0097+0.0161-0.2435+0.0161+0.0226</f>
        <v>0.47255400000000025</v>
      </c>
      <c r="U105" s="47">
        <f t="shared" si="23"/>
        <v>4.4895540000000009</v>
      </c>
      <c r="V105" s="25">
        <v>0</v>
      </c>
      <c r="W105" s="25">
        <v>0</v>
      </c>
      <c r="X105" s="26">
        <f t="shared" ref="X105:X132" si="33">U105-V105</f>
        <v>4.4895540000000009</v>
      </c>
      <c r="Y105" s="25">
        <v>0</v>
      </c>
      <c r="Z105" s="24">
        <f>1.05*6.3</f>
        <v>6.6150000000000002</v>
      </c>
      <c r="AA105" s="6">
        <f>Z105-X105-Y105</f>
        <v>2.1254459999999993</v>
      </c>
      <c r="AB105" s="48">
        <f>AA105</f>
        <v>2.1254459999999993</v>
      </c>
      <c r="AC105" s="12" t="s">
        <v>24</v>
      </c>
    </row>
    <row r="106" spans="1:29" s="100" customFormat="1" ht="22.5" x14ac:dyDescent="0.2">
      <c r="A106" s="65">
        <v>69</v>
      </c>
      <c r="B106" s="31" t="s">
        <v>163</v>
      </c>
      <c r="C106" s="32" t="s">
        <v>26</v>
      </c>
      <c r="D106" s="32">
        <v>10.368</v>
      </c>
      <c r="E106" s="32">
        <v>3.294</v>
      </c>
      <c r="F106" s="32"/>
      <c r="G106" s="49">
        <v>10.879</v>
      </c>
      <c r="H106" s="31">
        <v>0</v>
      </c>
      <c r="I106" s="31">
        <v>0</v>
      </c>
      <c r="J106" s="29">
        <f t="shared" si="32"/>
        <v>10.879</v>
      </c>
      <c r="K106" s="31">
        <v>0</v>
      </c>
      <c r="L106" s="30">
        <f>1.05*10</f>
        <v>10.5</v>
      </c>
      <c r="M106" s="45">
        <f>L106-J106-K106</f>
        <v>-0.37899999999999956</v>
      </c>
      <c r="N106" s="49">
        <f>M106</f>
        <v>-0.37899999999999956</v>
      </c>
      <c r="O106" s="31" t="s">
        <v>25</v>
      </c>
      <c r="P106" s="98"/>
      <c r="Q106" s="31">
        <v>69</v>
      </c>
      <c r="R106" s="31" t="s">
        <v>163</v>
      </c>
      <c r="S106" s="32" t="s">
        <v>26</v>
      </c>
      <c r="T106" s="87">
        <f>0+0.0065</f>
        <v>6.4999999999999997E-3</v>
      </c>
      <c r="U106" s="49">
        <f t="shared" si="23"/>
        <v>10.8855</v>
      </c>
      <c r="V106" s="31">
        <v>0</v>
      </c>
      <c r="W106" s="31">
        <v>0</v>
      </c>
      <c r="X106" s="29">
        <f t="shared" si="33"/>
        <v>10.8855</v>
      </c>
      <c r="Y106" s="31">
        <v>0</v>
      </c>
      <c r="Z106" s="30">
        <f>1.05*10</f>
        <v>10.5</v>
      </c>
      <c r="AA106" s="45">
        <f>Z106-X106-Y106</f>
        <v>-0.3855000000000004</v>
      </c>
      <c r="AB106" s="49">
        <f>AA106</f>
        <v>-0.3855000000000004</v>
      </c>
      <c r="AC106" s="31" t="s">
        <v>25</v>
      </c>
    </row>
    <row r="107" spans="1:29" s="1" customFormat="1" ht="22.5" x14ac:dyDescent="0.2">
      <c r="A107" s="169">
        <v>70</v>
      </c>
      <c r="B107" s="12" t="s">
        <v>164</v>
      </c>
      <c r="C107" s="69" t="s">
        <v>30</v>
      </c>
      <c r="D107" s="69">
        <f>D108+D109</f>
        <v>10.206</v>
      </c>
      <c r="E107" s="69">
        <f>E108+E109</f>
        <v>6.8520000000000003</v>
      </c>
      <c r="F107" s="69"/>
      <c r="G107" s="47">
        <f>G108+G109</f>
        <v>12.585000000000001</v>
      </c>
      <c r="H107" s="25">
        <f>H108+H109</f>
        <v>1.64</v>
      </c>
      <c r="I107" s="25" t="str">
        <f>I108</f>
        <v>6 час</v>
      </c>
      <c r="J107" s="26">
        <f t="shared" si="32"/>
        <v>10.945</v>
      </c>
      <c r="K107" s="25">
        <v>0</v>
      </c>
      <c r="L107" s="24">
        <f>1.05*16</f>
        <v>16.8</v>
      </c>
      <c r="M107" s="5">
        <f>L107-J107-K107</f>
        <v>5.8550000000000004</v>
      </c>
      <c r="N107" s="157">
        <f>MIN(M107:M109)</f>
        <v>5.8550000000000004</v>
      </c>
      <c r="O107" s="158" t="s">
        <v>24</v>
      </c>
      <c r="P107" s="16"/>
      <c r="Q107" s="169">
        <v>70</v>
      </c>
      <c r="R107" s="12" t="s">
        <v>164</v>
      </c>
      <c r="S107" s="15" t="s">
        <v>30</v>
      </c>
      <c r="T107" s="86">
        <f>T108+T109</f>
        <v>2.3699999999999999E-2</v>
      </c>
      <c r="U107" s="47">
        <f>U108+U109</f>
        <v>12.608699999999999</v>
      </c>
      <c r="V107" s="25">
        <f>V108+V109</f>
        <v>1.64</v>
      </c>
      <c r="W107" s="25" t="str">
        <f>W108</f>
        <v>6 час</v>
      </c>
      <c r="X107" s="26">
        <f t="shared" si="33"/>
        <v>10.968699999999998</v>
      </c>
      <c r="Y107" s="25">
        <v>0</v>
      </c>
      <c r="Z107" s="24">
        <f>1.05*16</f>
        <v>16.8</v>
      </c>
      <c r="AA107" s="5">
        <f>Z107-X107-Y107</f>
        <v>5.8313000000000024</v>
      </c>
      <c r="AB107" s="129">
        <f>MIN(AA107:AA109)</f>
        <v>5.8313000000000024</v>
      </c>
      <c r="AC107" s="158" t="s">
        <v>24</v>
      </c>
    </row>
    <row r="108" spans="1:29" s="1" customFormat="1" ht="11.25" hidden="1" customHeight="1" x14ac:dyDescent="0.2">
      <c r="A108" s="170"/>
      <c r="B108" s="27" t="s">
        <v>56</v>
      </c>
      <c r="C108" s="69" t="s">
        <v>30</v>
      </c>
      <c r="D108" s="69">
        <v>3.9060000000000001</v>
      </c>
      <c r="E108" s="69">
        <v>4.242</v>
      </c>
      <c r="F108" s="69"/>
      <c r="G108" s="48">
        <v>5.766</v>
      </c>
      <c r="H108" s="25">
        <v>1.64</v>
      </c>
      <c r="I108" s="25" t="s">
        <v>57</v>
      </c>
      <c r="J108" s="26">
        <f t="shared" si="32"/>
        <v>4.1260000000000003</v>
      </c>
      <c r="K108" s="25">
        <v>0</v>
      </c>
      <c r="L108" s="24">
        <f>1.05*16</f>
        <v>16.8</v>
      </c>
      <c r="M108" s="5">
        <f>L108-G108</f>
        <v>11.034000000000001</v>
      </c>
      <c r="N108" s="179"/>
      <c r="O108" s="159"/>
      <c r="P108" s="16"/>
      <c r="Q108" s="170"/>
      <c r="R108" s="27" t="s">
        <v>56</v>
      </c>
      <c r="S108" s="15" t="s">
        <v>30</v>
      </c>
      <c r="T108" s="86"/>
      <c r="U108" s="47">
        <f t="shared" si="23"/>
        <v>5.766</v>
      </c>
      <c r="V108" s="25">
        <v>1.64</v>
      </c>
      <c r="W108" s="25" t="s">
        <v>57</v>
      </c>
      <c r="X108" s="26">
        <f t="shared" si="33"/>
        <v>4.1260000000000003</v>
      </c>
      <c r="Y108" s="25">
        <v>0</v>
      </c>
      <c r="Z108" s="24">
        <f>1.05*16</f>
        <v>16.8</v>
      </c>
      <c r="AA108" s="5">
        <f>Z108-U108</f>
        <v>11.034000000000001</v>
      </c>
      <c r="AB108" s="132"/>
      <c r="AC108" s="159"/>
    </row>
    <row r="109" spans="1:29" s="1" customFormat="1" ht="11.25" hidden="1" customHeight="1" x14ac:dyDescent="0.2">
      <c r="A109" s="171"/>
      <c r="B109" s="27" t="s">
        <v>44</v>
      </c>
      <c r="C109" s="69" t="s">
        <v>30</v>
      </c>
      <c r="D109" s="69">
        <v>6.3</v>
      </c>
      <c r="E109" s="69">
        <v>2.61</v>
      </c>
      <c r="F109" s="69"/>
      <c r="G109" s="48">
        <v>6.819</v>
      </c>
      <c r="H109" s="25">
        <v>0</v>
      </c>
      <c r="I109" s="25">
        <v>0</v>
      </c>
      <c r="J109" s="26">
        <f t="shared" si="32"/>
        <v>6.819</v>
      </c>
      <c r="K109" s="25">
        <v>0</v>
      </c>
      <c r="L109" s="24">
        <f>1.05*16</f>
        <v>16.8</v>
      </c>
      <c r="M109" s="5">
        <f>L109-J109-K109</f>
        <v>9.9810000000000016</v>
      </c>
      <c r="N109" s="180"/>
      <c r="O109" s="160"/>
      <c r="P109" s="16"/>
      <c r="Q109" s="171"/>
      <c r="R109" s="27" t="s">
        <v>44</v>
      </c>
      <c r="S109" s="15" t="s">
        <v>30</v>
      </c>
      <c r="T109" s="86">
        <f>0+0.0237</f>
        <v>2.3699999999999999E-2</v>
      </c>
      <c r="U109" s="47">
        <f t="shared" si="23"/>
        <v>6.8426999999999998</v>
      </c>
      <c r="V109" s="25">
        <v>0</v>
      </c>
      <c r="W109" s="25">
        <v>0</v>
      </c>
      <c r="X109" s="26">
        <f t="shared" si="33"/>
        <v>6.8426999999999998</v>
      </c>
      <c r="Y109" s="25">
        <v>0</v>
      </c>
      <c r="Z109" s="24">
        <f>1.05*16</f>
        <v>16.8</v>
      </c>
      <c r="AA109" s="5">
        <f>Z109-X109-Y109</f>
        <v>9.9573</v>
      </c>
      <c r="AB109" s="133"/>
      <c r="AC109" s="160"/>
    </row>
    <row r="110" spans="1:29" s="1" customFormat="1" ht="22.5" x14ac:dyDescent="0.2">
      <c r="A110" s="169">
        <v>71</v>
      </c>
      <c r="B110" s="12" t="s">
        <v>166</v>
      </c>
      <c r="C110" s="69" t="s">
        <v>26</v>
      </c>
      <c r="D110" s="69">
        <f>D111+D112</f>
        <v>3.2229999999999999</v>
      </c>
      <c r="E110" s="69">
        <f>E111+E112</f>
        <v>1.4489999999999998</v>
      </c>
      <c r="F110" s="69"/>
      <c r="G110" s="47">
        <f>G111+G112</f>
        <v>3.5369999999999999</v>
      </c>
      <c r="H110" s="25">
        <f>H111+H112</f>
        <v>3.12</v>
      </c>
      <c r="I110" s="25" t="str">
        <f>I111</f>
        <v>6 час</v>
      </c>
      <c r="J110" s="26">
        <f t="shared" si="32"/>
        <v>0.41699999999999982</v>
      </c>
      <c r="K110" s="25">
        <v>0</v>
      </c>
      <c r="L110" s="24">
        <f>1.05*10</f>
        <v>10.5</v>
      </c>
      <c r="M110" s="5">
        <f>L110-J110-K110</f>
        <v>10.083</v>
      </c>
      <c r="N110" s="157">
        <f>MIN(M110:M112)</f>
        <v>7.68</v>
      </c>
      <c r="O110" s="158" t="s">
        <v>24</v>
      </c>
      <c r="P110" s="16"/>
      <c r="Q110" s="169">
        <v>71</v>
      </c>
      <c r="R110" s="12" t="s">
        <v>166</v>
      </c>
      <c r="S110" s="15" t="s">
        <v>26</v>
      </c>
      <c r="T110" s="86">
        <f>T111+T112</f>
        <v>1.3599999999999999E-2</v>
      </c>
      <c r="U110" s="47">
        <f>U111+U112</f>
        <v>3.5505999999999998</v>
      </c>
      <c r="V110" s="25">
        <f>V111+V112</f>
        <v>3.12</v>
      </c>
      <c r="W110" s="25" t="str">
        <f>W111</f>
        <v>6 час</v>
      </c>
      <c r="X110" s="26">
        <f t="shared" si="33"/>
        <v>0.43059999999999965</v>
      </c>
      <c r="Y110" s="25">
        <v>0</v>
      </c>
      <c r="Z110" s="24">
        <f>1.05*10</f>
        <v>10.5</v>
      </c>
      <c r="AA110" s="5">
        <f>Z110-X110-Y110</f>
        <v>10.0694</v>
      </c>
      <c r="AB110" s="129">
        <f>MIN(AA110:AA112)</f>
        <v>7.68</v>
      </c>
      <c r="AC110" s="158" t="s">
        <v>24</v>
      </c>
    </row>
    <row r="111" spans="1:29" s="1" customFormat="1" ht="20.25" hidden="1" customHeight="1" x14ac:dyDescent="0.2">
      <c r="A111" s="170"/>
      <c r="B111" s="27" t="s">
        <v>56</v>
      </c>
      <c r="C111" s="69" t="s">
        <v>26</v>
      </c>
      <c r="D111" s="69">
        <f>D46+D47+D175</f>
        <v>2.597</v>
      </c>
      <c r="E111" s="69">
        <f>E46+E47+E175</f>
        <v>1.099</v>
      </c>
      <c r="F111" s="69"/>
      <c r="G111" s="48">
        <v>2.82</v>
      </c>
      <c r="H111" s="25">
        <v>3.12</v>
      </c>
      <c r="I111" s="25" t="s">
        <v>57</v>
      </c>
      <c r="J111" s="26">
        <f t="shared" si="32"/>
        <v>-0.30000000000000027</v>
      </c>
      <c r="K111" s="25">
        <v>0</v>
      </c>
      <c r="L111" s="24">
        <f>1.05*10</f>
        <v>10.5</v>
      </c>
      <c r="M111" s="5">
        <f>L111-G111</f>
        <v>7.68</v>
      </c>
      <c r="N111" s="179"/>
      <c r="O111" s="159"/>
      <c r="P111" s="16"/>
      <c r="Q111" s="170"/>
      <c r="R111" s="27" t="s">
        <v>56</v>
      </c>
      <c r="S111" s="15" t="s">
        <v>26</v>
      </c>
      <c r="T111" s="86"/>
      <c r="U111" s="47">
        <f t="shared" si="23"/>
        <v>2.82</v>
      </c>
      <c r="V111" s="25">
        <v>3.12</v>
      </c>
      <c r="W111" s="25" t="s">
        <v>57</v>
      </c>
      <c r="X111" s="26">
        <f t="shared" si="33"/>
        <v>-0.30000000000000027</v>
      </c>
      <c r="Y111" s="25">
        <v>0</v>
      </c>
      <c r="Z111" s="24">
        <f>1.05*10</f>
        <v>10.5</v>
      </c>
      <c r="AA111" s="5">
        <f>Z111-U111</f>
        <v>7.68</v>
      </c>
      <c r="AB111" s="132"/>
      <c r="AC111" s="159"/>
    </row>
    <row r="112" spans="1:29" s="1" customFormat="1" ht="22.5" hidden="1" customHeight="1" x14ac:dyDescent="0.2">
      <c r="A112" s="171"/>
      <c r="B112" s="27" t="s">
        <v>44</v>
      </c>
      <c r="C112" s="69" t="s">
        <v>26</v>
      </c>
      <c r="D112" s="69">
        <v>0.626</v>
      </c>
      <c r="E112" s="69">
        <v>0.35</v>
      </c>
      <c r="F112" s="69"/>
      <c r="G112" s="48">
        <v>0.71699999999999997</v>
      </c>
      <c r="H112" s="25">
        <v>0</v>
      </c>
      <c r="I112" s="25">
        <v>0</v>
      </c>
      <c r="J112" s="26">
        <f t="shared" si="32"/>
        <v>0.71699999999999997</v>
      </c>
      <c r="K112" s="25">
        <v>0</v>
      </c>
      <c r="L112" s="24">
        <f>1.05*10</f>
        <v>10.5</v>
      </c>
      <c r="M112" s="5">
        <f>L112-J112-K112</f>
        <v>9.7829999999999995</v>
      </c>
      <c r="N112" s="180"/>
      <c r="O112" s="160"/>
      <c r="P112" s="16"/>
      <c r="Q112" s="171"/>
      <c r="R112" s="27" t="s">
        <v>44</v>
      </c>
      <c r="S112" s="15" t="s">
        <v>26</v>
      </c>
      <c r="T112" s="86">
        <f>0.009+0.004+0.0065-0.0005-0.0054</f>
        <v>1.3599999999999999E-2</v>
      </c>
      <c r="U112" s="47">
        <f t="shared" si="23"/>
        <v>0.73059999999999992</v>
      </c>
      <c r="V112" s="25">
        <v>0</v>
      </c>
      <c r="W112" s="25">
        <v>0</v>
      </c>
      <c r="X112" s="26">
        <f t="shared" si="33"/>
        <v>0.73059999999999992</v>
      </c>
      <c r="Y112" s="25">
        <v>0</v>
      </c>
      <c r="Z112" s="24">
        <f>1.05*10</f>
        <v>10.5</v>
      </c>
      <c r="AA112" s="5">
        <f>Z112-X112-Y112</f>
        <v>9.769400000000001</v>
      </c>
      <c r="AB112" s="133"/>
      <c r="AC112" s="160"/>
    </row>
    <row r="113" spans="1:29" s="1" customFormat="1" ht="22.5" x14ac:dyDescent="0.2">
      <c r="A113" s="18">
        <v>72</v>
      </c>
      <c r="B113" s="12" t="s">
        <v>167</v>
      </c>
      <c r="C113" s="69" t="s">
        <v>27</v>
      </c>
      <c r="D113" s="69">
        <v>1.02</v>
      </c>
      <c r="E113" s="69">
        <v>0.3</v>
      </c>
      <c r="F113" s="69"/>
      <c r="G113" s="47">
        <v>1.0629999999999999</v>
      </c>
      <c r="H113" s="25">
        <v>0</v>
      </c>
      <c r="I113" s="25">
        <v>0</v>
      </c>
      <c r="J113" s="26">
        <f t="shared" si="32"/>
        <v>1.0629999999999999</v>
      </c>
      <c r="K113" s="25">
        <v>0</v>
      </c>
      <c r="L113" s="24">
        <f>1.05*2.5</f>
        <v>2.625</v>
      </c>
      <c r="M113" s="6">
        <f>L113-J113-K113</f>
        <v>1.5620000000000001</v>
      </c>
      <c r="N113" s="48">
        <f>M113</f>
        <v>1.5620000000000001</v>
      </c>
      <c r="O113" s="17" t="s">
        <v>24</v>
      </c>
      <c r="P113" s="16"/>
      <c r="Q113" s="18">
        <v>72</v>
      </c>
      <c r="R113" s="12" t="s">
        <v>167</v>
      </c>
      <c r="S113" s="15" t="s">
        <v>27</v>
      </c>
      <c r="T113" s="86">
        <f>0.084+0.011+0.014+0.015+0.015+0.011+0.001+0.0108-0.0607+0.0056+0.0108+0.0538+0.0118+0.0161-0.0108+0.0054+0.003+0.3763-0.0452</f>
        <v>0.52790000000000004</v>
      </c>
      <c r="U113" s="47">
        <f t="shared" si="23"/>
        <v>1.5909</v>
      </c>
      <c r="V113" s="25">
        <v>0</v>
      </c>
      <c r="W113" s="25">
        <v>0</v>
      </c>
      <c r="X113" s="26">
        <f t="shared" si="33"/>
        <v>1.5909</v>
      </c>
      <c r="Y113" s="25">
        <v>0</v>
      </c>
      <c r="Z113" s="24">
        <f>1.05*2.5</f>
        <v>2.625</v>
      </c>
      <c r="AA113" s="6">
        <f>Z113-X113-Y113</f>
        <v>1.0341</v>
      </c>
      <c r="AB113" s="48">
        <f>AA113</f>
        <v>1.0341</v>
      </c>
      <c r="AC113" s="12" t="s">
        <v>24</v>
      </c>
    </row>
    <row r="114" spans="1:29" s="1" customFormat="1" ht="22.5" x14ac:dyDescent="0.2">
      <c r="A114" s="169">
        <v>73</v>
      </c>
      <c r="B114" s="12" t="s">
        <v>169</v>
      </c>
      <c r="C114" s="69" t="s">
        <v>52</v>
      </c>
      <c r="D114" s="69">
        <f>D115+D116</f>
        <v>11.65</v>
      </c>
      <c r="E114" s="69">
        <f>E115+E116</f>
        <v>6.1099999999999994</v>
      </c>
      <c r="F114" s="69"/>
      <c r="G114" s="69">
        <f>G115+G116</f>
        <v>13.156000000000001</v>
      </c>
      <c r="H114" s="25">
        <f>H115+H116</f>
        <v>1.8</v>
      </c>
      <c r="I114" s="25" t="str">
        <f>I115</f>
        <v>6 час</v>
      </c>
      <c r="J114" s="26">
        <f t="shared" si="32"/>
        <v>11.356</v>
      </c>
      <c r="K114" s="25">
        <v>0</v>
      </c>
      <c r="L114" s="24">
        <f>1.05*32</f>
        <v>33.6</v>
      </c>
      <c r="M114" s="5">
        <f>L114-J114-K114</f>
        <v>22.244</v>
      </c>
      <c r="N114" s="157">
        <f>MIN(M114:M116)</f>
        <v>22.244</v>
      </c>
      <c r="O114" s="158" t="s">
        <v>24</v>
      </c>
      <c r="P114" s="16"/>
      <c r="Q114" s="169">
        <v>73</v>
      </c>
      <c r="R114" s="12" t="s">
        <v>169</v>
      </c>
      <c r="S114" s="15" t="s">
        <v>52</v>
      </c>
      <c r="T114" s="86">
        <f>T115+T116</f>
        <v>1.8787780000000003</v>
      </c>
      <c r="U114" s="47">
        <f>U115+U116</f>
        <v>15.034778000000001</v>
      </c>
      <c r="V114" s="25">
        <f>V115+V116</f>
        <v>1.8</v>
      </c>
      <c r="W114" s="25" t="str">
        <f>W115</f>
        <v>6 час</v>
      </c>
      <c r="X114" s="26">
        <f t="shared" si="33"/>
        <v>13.234778</v>
      </c>
      <c r="Y114" s="25">
        <v>0</v>
      </c>
      <c r="Z114" s="24">
        <f>1.05*32</f>
        <v>33.6</v>
      </c>
      <c r="AA114" s="5">
        <f>Z114-X114-Y114</f>
        <v>20.365222000000003</v>
      </c>
      <c r="AB114" s="129">
        <f>MIN(AA114:AA116)</f>
        <v>20.365222000000003</v>
      </c>
      <c r="AC114" s="158" t="s">
        <v>24</v>
      </c>
    </row>
    <row r="115" spans="1:29" s="1" customFormat="1" ht="11.25" hidden="1" customHeight="1" x14ac:dyDescent="0.2">
      <c r="A115" s="170"/>
      <c r="B115" s="27" t="s">
        <v>56</v>
      </c>
      <c r="C115" s="63" t="s">
        <v>30</v>
      </c>
      <c r="D115" s="63">
        <v>1.89</v>
      </c>
      <c r="E115" s="63">
        <v>0.94</v>
      </c>
      <c r="F115" s="63"/>
      <c r="G115" s="48">
        <v>2.1110000000000002</v>
      </c>
      <c r="H115" s="25">
        <v>1.8</v>
      </c>
      <c r="I115" s="25" t="s">
        <v>57</v>
      </c>
      <c r="J115" s="26">
        <f t="shared" si="32"/>
        <v>0.31100000000000017</v>
      </c>
      <c r="K115" s="25">
        <v>0</v>
      </c>
      <c r="L115" s="24">
        <f>1.05*32</f>
        <v>33.6</v>
      </c>
      <c r="M115" s="5">
        <f>L115-G115</f>
        <v>31.489000000000001</v>
      </c>
      <c r="N115" s="179"/>
      <c r="O115" s="159"/>
      <c r="P115" s="16"/>
      <c r="Q115" s="170"/>
      <c r="R115" s="27" t="s">
        <v>56</v>
      </c>
      <c r="S115" s="28" t="s">
        <v>30</v>
      </c>
      <c r="T115" s="85"/>
      <c r="U115" s="47">
        <f t="shared" si="23"/>
        <v>2.1110000000000002</v>
      </c>
      <c r="V115" s="25">
        <v>1.8</v>
      </c>
      <c r="W115" s="25" t="s">
        <v>57</v>
      </c>
      <c r="X115" s="26">
        <f t="shared" si="33"/>
        <v>0.31100000000000017</v>
      </c>
      <c r="Y115" s="25">
        <v>0</v>
      </c>
      <c r="Z115" s="24">
        <f>1.05*32</f>
        <v>33.6</v>
      </c>
      <c r="AA115" s="5">
        <f>Z115-U115</f>
        <v>31.489000000000001</v>
      </c>
      <c r="AB115" s="132"/>
      <c r="AC115" s="159"/>
    </row>
    <row r="116" spans="1:29" s="1" customFormat="1" ht="11.25" hidden="1" customHeight="1" x14ac:dyDescent="0.2">
      <c r="A116" s="171"/>
      <c r="B116" s="27" t="s">
        <v>44</v>
      </c>
      <c r="C116" s="63" t="s">
        <v>30</v>
      </c>
      <c r="D116" s="63">
        <v>9.76</v>
      </c>
      <c r="E116" s="63">
        <v>5.17</v>
      </c>
      <c r="F116" s="63"/>
      <c r="G116" s="48">
        <v>11.045</v>
      </c>
      <c r="H116" s="25">
        <v>0</v>
      </c>
      <c r="I116" s="25">
        <v>0</v>
      </c>
      <c r="J116" s="26">
        <f t="shared" si="32"/>
        <v>11.045</v>
      </c>
      <c r="K116" s="25">
        <v>0</v>
      </c>
      <c r="L116" s="24">
        <f>1.05*32</f>
        <v>33.6</v>
      </c>
      <c r="M116" s="5">
        <f>L116-J116-K116</f>
        <v>22.555</v>
      </c>
      <c r="N116" s="180"/>
      <c r="O116" s="160"/>
      <c r="P116" s="16"/>
      <c r="Q116" s="171"/>
      <c r="R116" s="27" t="s">
        <v>44</v>
      </c>
      <c r="S116" s="28" t="s">
        <v>30</v>
      </c>
      <c r="T116" s="85">
        <f>0.034+0.108+0.016+0.614+0.016+0.022+0.005+0.4623+0.0237-0.0726+0.0108+0.0216+0.0161+0.0108+0.022+0.441+0.0161+0.016128-0.07635+0.0054+0.014+0.0027+0.0062+0.0183+0.1849+0.0075-0.0743+0.0075</f>
        <v>1.8787780000000003</v>
      </c>
      <c r="U116" s="47">
        <f t="shared" si="23"/>
        <v>12.923778</v>
      </c>
      <c r="V116" s="25">
        <v>0</v>
      </c>
      <c r="W116" s="25">
        <v>0</v>
      </c>
      <c r="X116" s="26">
        <f t="shared" si="33"/>
        <v>12.923778</v>
      </c>
      <c r="Y116" s="25">
        <v>0</v>
      </c>
      <c r="Z116" s="24">
        <f>1.05*32</f>
        <v>33.6</v>
      </c>
      <c r="AA116" s="5">
        <f>Z116-X116-Y116</f>
        <v>20.676222000000003</v>
      </c>
      <c r="AB116" s="133"/>
      <c r="AC116" s="160"/>
    </row>
    <row r="117" spans="1:29" s="1" customFormat="1" ht="22.5" x14ac:dyDescent="0.2">
      <c r="A117" s="169">
        <v>74</v>
      </c>
      <c r="B117" s="12" t="s">
        <v>170</v>
      </c>
      <c r="C117" s="69" t="s">
        <v>31</v>
      </c>
      <c r="D117" s="69">
        <f>D118+D119</f>
        <v>9.98</v>
      </c>
      <c r="E117" s="69">
        <f>E118+E119</f>
        <v>4.47</v>
      </c>
      <c r="F117" s="69"/>
      <c r="G117" s="47">
        <f>G118+G119</f>
        <v>10.948</v>
      </c>
      <c r="H117" s="25">
        <f>H118+H119</f>
        <v>2.21</v>
      </c>
      <c r="I117" s="25" t="str">
        <f>I118</f>
        <v>3 час</v>
      </c>
      <c r="J117" s="26">
        <f t="shared" si="32"/>
        <v>8.7379999999999995</v>
      </c>
      <c r="K117" s="25">
        <v>0</v>
      </c>
      <c r="L117" s="24">
        <f>1.05*25</f>
        <v>26.25</v>
      </c>
      <c r="M117" s="5">
        <f>L117-J117-K117</f>
        <v>17.512</v>
      </c>
      <c r="N117" s="157">
        <f>MIN(M117:M119)</f>
        <v>17.512</v>
      </c>
      <c r="O117" s="158" t="s">
        <v>24</v>
      </c>
      <c r="P117" s="16"/>
      <c r="Q117" s="169">
        <v>74</v>
      </c>
      <c r="R117" s="12" t="s">
        <v>170</v>
      </c>
      <c r="S117" s="15" t="s">
        <v>31</v>
      </c>
      <c r="T117" s="86">
        <f>T118+T119</f>
        <v>0.96303999999999956</v>
      </c>
      <c r="U117" s="47">
        <f>U118+U119</f>
        <v>11.91104</v>
      </c>
      <c r="V117" s="25">
        <f>V118+V119</f>
        <v>2.21</v>
      </c>
      <c r="W117" s="25" t="str">
        <f>W118</f>
        <v>3 час</v>
      </c>
      <c r="X117" s="26">
        <f t="shared" si="33"/>
        <v>9.701039999999999</v>
      </c>
      <c r="Y117" s="25">
        <v>0</v>
      </c>
      <c r="Z117" s="24">
        <f>1.05*25</f>
        <v>26.25</v>
      </c>
      <c r="AA117" s="5">
        <f>Z117-X117-Y117</f>
        <v>16.548960000000001</v>
      </c>
      <c r="AB117" s="129">
        <f>MIN(AA117:AA119)</f>
        <v>16.548960000000001</v>
      </c>
      <c r="AC117" s="158" t="s">
        <v>24</v>
      </c>
    </row>
    <row r="118" spans="1:29" s="1" customFormat="1" ht="11.25" hidden="1" customHeight="1" x14ac:dyDescent="0.2">
      <c r="A118" s="170"/>
      <c r="B118" s="27" t="s">
        <v>56</v>
      </c>
      <c r="C118" s="69" t="s">
        <v>31</v>
      </c>
      <c r="D118" s="69">
        <v>2.4300000000000002</v>
      </c>
      <c r="E118" s="69">
        <v>0.84</v>
      </c>
      <c r="F118" s="69"/>
      <c r="G118" s="48">
        <v>2.5710000000000002</v>
      </c>
      <c r="H118" s="25">
        <v>2.21</v>
      </c>
      <c r="I118" s="25" t="s">
        <v>55</v>
      </c>
      <c r="J118" s="26">
        <f t="shared" si="32"/>
        <v>0.36100000000000021</v>
      </c>
      <c r="K118" s="25">
        <v>0</v>
      </c>
      <c r="L118" s="24">
        <f>1.05*25</f>
        <v>26.25</v>
      </c>
      <c r="M118" s="5">
        <f>L118-G118</f>
        <v>23.678999999999998</v>
      </c>
      <c r="N118" s="179"/>
      <c r="O118" s="159"/>
      <c r="P118" s="16"/>
      <c r="Q118" s="170"/>
      <c r="R118" s="27" t="s">
        <v>56</v>
      </c>
      <c r="S118" s="15" t="s">
        <v>31</v>
      </c>
      <c r="T118" s="86"/>
      <c r="U118" s="47">
        <f t="shared" si="23"/>
        <v>2.5710000000000002</v>
      </c>
      <c r="V118" s="25">
        <v>2.21</v>
      </c>
      <c r="W118" s="25" t="s">
        <v>55</v>
      </c>
      <c r="X118" s="26">
        <f t="shared" si="33"/>
        <v>0.36100000000000021</v>
      </c>
      <c r="Y118" s="25">
        <v>0</v>
      </c>
      <c r="Z118" s="24">
        <f>1.05*25</f>
        <v>26.25</v>
      </c>
      <c r="AA118" s="5">
        <f>Z118-U118</f>
        <v>23.678999999999998</v>
      </c>
      <c r="AB118" s="132"/>
      <c r="AC118" s="159"/>
    </row>
    <row r="119" spans="1:29" s="1" customFormat="1" ht="11.25" hidden="1" customHeight="1" x14ac:dyDescent="0.2">
      <c r="A119" s="171"/>
      <c r="B119" s="27" t="s">
        <v>44</v>
      </c>
      <c r="C119" s="69" t="s">
        <v>31</v>
      </c>
      <c r="D119" s="69">
        <v>7.55</v>
      </c>
      <c r="E119" s="69">
        <v>3.63</v>
      </c>
      <c r="F119" s="69"/>
      <c r="G119" s="48">
        <v>8.3770000000000007</v>
      </c>
      <c r="H119" s="25">
        <v>0</v>
      </c>
      <c r="I119" s="25">
        <v>0</v>
      </c>
      <c r="J119" s="26">
        <f t="shared" si="32"/>
        <v>8.3770000000000007</v>
      </c>
      <c r="K119" s="25">
        <v>0</v>
      </c>
      <c r="L119" s="24">
        <f>1.05*25</f>
        <v>26.25</v>
      </c>
      <c r="M119" s="5">
        <f>L119-J119-K119</f>
        <v>17.872999999999998</v>
      </c>
      <c r="N119" s="180"/>
      <c r="O119" s="160"/>
      <c r="P119" s="16"/>
      <c r="Q119" s="171"/>
      <c r="R119" s="27" t="s">
        <v>44</v>
      </c>
      <c r="S119" s="15" t="s">
        <v>31</v>
      </c>
      <c r="T119" s="86">
        <f>1.731+0.001+0.11+0.005+0.004+0.101+0.005+0.005+0.017+1.2044+0.0065+0.0484+0.0038+0.0212+0.0054+0.038+0.3967+0.0215+0.0753+0.0161+0.04204+0.0108-0.324+0.0215+0.0054+0.0054+0.0054+0.0083+0.426+0.0108+0.0376-3.1401+0.0376</f>
        <v>0.96303999999999956</v>
      </c>
      <c r="U119" s="47">
        <f t="shared" si="23"/>
        <v>9.3400400000000001</v>
      </c>
      <c r="V119" s="25">
        <v>0</v>
      </c>
      <c r="W119" s="25">
        <v>0</v>
      </c>
      <c r="X119" s="26">
        <f t="shared" si="33"/>
        <v>9.3400400000000001</v>
      </c>
      <c r="Y119" s="25">
        <v>0</v>
      </c>
      <c r="Z119" s="24">
        <f>1.05*25</f>
        <v>26.25</v>
      </c>
      <c r="AA119" s="5">
        <f>Z119-X119-Y119</f>
        <v>16.909959999999998</v>
      </c>
      <c r="AB119" s="133"/>
      <c r="AC119" s="160"/>
    </row>
    <row r="120" spans="1:29" s="1" customFormat="1" ht="22.5" x14ac:dyDescent="0.2">
      <c r="A120" s="18">
        <v>75</v>
      </c>
      <c r="B120" s="12" t="s">
        <v>171</v>
      </c>
      <c r="C120" s="69" t="s">
        <v>27</v>
      </c>
      <c r="D120" s="69">
        <v>0.32700000000000001</v>
      </c>
      <c r="E120" s="69">
        <v>0.14699999999999999</v>
      </c>
      <c r="F120" s="69"/>
      <c r="G120" s="47">
        <v>0.35899999999999999</v>
      </c>
      <c r="H120" s="25">
        <v>0</v>
      </c>
      <c r="I120" s="25">
        <v>0</v>
      </c>
      <c r="J120" s="26">
        <f t="shared" si="32"/>
        <v>0.35899999999999999</v>
      </c>
      <c r="K120" s="25">
        <v>0</v>
      </c>
      <c r="L120" s="24">
        <f>1.05*2.5</f>
        <v>2.625</v>
      </c>
      <c r="M120" s="6">
        <f>L120-J120-K120</f>
        <v>2.266</v>
      </c>
      <c r="N120" s="48">
        <f>M120</f>
        <v>2.266</v>
      </c>
      <c r="O120" s="17" t="s">
        <v>24</v>
      </c>
      <c r="P120" s="16"/>
      <c r="Q120" s="18">
        <v>75</v>
      </c>
      <c r="R120" s="18" t="s">
        <v>171</v>
      </c>
      <c r="S120" s="69" t="s">
        <v>27</v>
      </c>
      <c r="T120" s="108">
        <f>0.006+0.215+0.0155-0.2234+0.0155+2.0429-0.0203</f>
        <v>2.0511999999999997</v>
      </c>
      <c r="U120" s="79">
        <f t="shared" si="23"/>
        <v>2.4101999999999997</v>
      </c>
      <c r="V120" s="65">
        <v>0</v>
      </c>
      <c r="W120" s="65">
        <v>0</v>
      </c>
      <c r="X120" s="64">
        <f t="shared" si="33"/>
        <v>2.4101999999999997</v>
      </c>
      <c r="Y120" s="65">
        <v>0</v>
      </c>
      <c r="Z120" s="66">
        <f>1.05*2.5</f>
        <v>2.625</v>
      </c>
      <c r="AA120" s="2">
        <f>Z120-X120-Y120</f>
        <v>0.21480000000000032</v>
      </c>
      <c r="AB120" s="82">
        <f>AA120</f>
        <v>0.21480000000000032</v>
      </c>
      <c r="AC120" s="18" t="s">
        <v>24</v>
      </c>
    </row>
    <row r="121" spans="1:29" s="1" customFormat="1" ht="22.5" x14ac:dyDescent="0.2">
      <c r="A121" s="169">
        <v>76</v>
      </c>
      <c r="B121" s="12" t="s">
        <v>172</v>
      </c>
      <c r="C121" s="69" t="s">
        <v>30</v>
      </c>
      <c r="D121" s="69">
        <f>D122+D123</f>
        <v>6.2549999999999999</v>
      </c>
      <c r="E121" s="69">
        <f>E122+E123</f>
        <v>2.6070000000000002</v>
      </c>
      <c r="F121" s="69"/>
      <c r="G121" s="69">
        <f>G122+G123</f>
        <v>13.315999999999999</v>
      </c>
      <c r="H121" s="25">
        <f>H122+H123</f>
        <v>7.34</v>
      </c>
      <c r="I121" s="25" t="str">
        <f>I122</f>
        <v>6 час</v>
      </c>
      <c r="J121" s="26">
        <f t="shared" si="32"/>
        <v>5.9759999999999991</v>
      </c>
      <c r="K121" s="25">
        <v>0</v>
      </c>
      <c r="L121" s="24">
        <f>1.05*16</f>
        <v>16.8</v>
      </c>
      <c r="M121" s="5">
        <f>L121-J121-K121</f>
        <v>10.824000000000002</v>
      </c>
      <c r="N121" s="157">
        <f>MIN(M121:M123)</f>
        <v>7.5750000000000011</v>
      </c>
      <c r="O121" s="158" t="s">
        <v>24</v>
      </c>
      <c r="P121" s="16"/>
      <c r="Q121" s="169">
        <v>76</v>
      </c>
      <c r="R121" s="12" t="s">
        <v>172</v>
      </c>
      <c r="S121" s="15" t="s">
        <v>30</v>
      </c>
      <c r="T121" s="86">
        <f>T122+T123</f>
        <v>3.3300000000000031E-2</v>
      </c>
      <c r="U121" s="47">
        <f>U122+U123</f>
        <v>13.349299999999999</v>
      </c>
      <c r="V121" s="25">
        <f>V122+V123</f>
        <v>7.34</v>
      </c>
      <c r="W121" s="25" t="str">
        <f>W122</f>
        <v>6 час</v>
      </c>
      <c r="X121" s="26">
        <f t="shared" si="33"/>
        <v>6.0092999999999996</v>
      </c>
      <c r="Y121" s="25">
        <v>0</v>
      </c>
      <c r="Z121" s="24">
        <f>1.05*16</f>
        <v>16.8</v>
      </c>
      <c r="AA121" s="5">
        <f>Z121-X121-Y121</f>
        <v>10.790700000000001</v>
      </c>
      <c r="AB121" s="129">
        <f>MIN(AA121:AA123)</f>
        <v>7.5750000000000011</v>
      </c>
      <c r="AC121" s="158" t="s">
        <v>24</v>
      </c>
    </row>
    <row r="122" spans="1:29" s="1" customFormat="1" ht="22.5" hidden="1" x14ac:dyDescent="0.2">
      <c r="A122" s="170"/>
      <c r="B122" s="27" t="s">
        <v>56</v>
      </c>
      <c r="C122" s="69" t="s">
        <v>30</v>
      </c>
      <c r="D122" s="69">
        <f>D185+D187+D182+D174</f>
        <v>2.33</v>
      </c>
      <c r="E122" s="69">
        <f>E185+E187+E182+E174</f>
        <v>1.454</v>
      </c>
      <c r="F122" s="69"/>
      <c r="G122" s="69">
        <f>G185+G187+G182+G174</f>
        <v>9.2249999999999996</v>
      </c>
      <c r="H122" s="25">
        <v>7.34</v>
      </c>
      <c r="I122" s="25" t="s">
        <v>57</v>
      </c>
      <c r="J122" s="26">
        <f t="shared" si="32"/>
        <v>1.8849999999999998</v>
      </c>
      <c r="K122" s="25">
        <v>0</v>
      </c>
      <c r="L122" s="24">
        <f>1.05*16</f>
        <v>16.8</v>
      </c>
      <c r="M122" s="5">
        <f>L122-G122</f>
        <v>7.5750000000000011</v>
      </c>
      <c r="N122" s="179"/>
      <c r="O122" s="159"/>
      <c r="P122" s="16"/>
      <c r="Q122" s="170"/>
      <c r="R122" s="27" t="s">
        <v>56</v>
      </c>
      <c r="S122" s="15" t="s">
        <v>30</v>
      </c>
      <c r="T122" s="86"/>
      <c r="U122" s="47">
        <f t="shared" si="23"/>
        <v>9.2249999999999996</v>
      </c>
      <c r="V122" s="25">
        <v>7.34</v>
      </c>
      <c r="W122" s="25" t="s">
        <v>57</v>
      </c>
      <c r="X122" s="26">
        <f t="shared" si="33"/>
        <v>1.8849999999999998</v>
      </c>
      <c r="Y122" s="25">
        <v>0</v>
      </c>
      <c r="Z122" s="24">
        <f>1.05*16</f>
        <v>16.8</v>
      </c>
      <c r="AA122" s="5">
        <f>Z122-U122</f>
        <v>7.5750000000000011</v>
      </c>
      <c r="AB122" s="132"/>
      <c r="AC122" s="159"/>
    </row>
    <row r="123" spans="1:29" s="1" customFormat="1" ht="22.5" hidden="1" x14ac:dyDescent="0.2">
      <c r="A123" s="171"/>
      <c r="B123" s="27" t="s">
        <v>44</v>
      </c>
      <c r="C123" s="69" t="s">
        <v>30</v>
      </c>
      <c r="D123" s="69">
        <v>3.9249999999999998</v>
      </c>
      <c r="E123" s="69">
        <v>1.153</v>
      </c>
      <c r="F123" s="69"/>
      <c r="G123" s="48">
        <v>4.0910000000000002</v>
      </c>
      <c r="H123" s="25">
        <v>0</v>
      </c>
      <c r="I123" s="25">
        <v>0</v>
      </c>
      <c r="J123" s="26">
        <f t="shared" si="32"/>
        <v>4.0910000000000002</v>
      </c>
      <c r="K123" s="25">
        <v>0</v>
      </c>
      <c r="L123" s="24">
        <f>1.05*16</f>
        <v>16.8</v>
      </c>
      <c r="M123" s="5">
        <f>L123-J123-K123</f>
        <v>12.709</v>
      </c>
      <c r="N123" s="180"/>
      <c r="O123" s="160"/>
      <c r="P123" s="16"/>
      <c r="Q123" s="171"/>
      <c r="R123" s="27" t="s">
        <v>44</v>
      </c>
      <c r="S123" s="15" t="s">
        <v>30</v>
      </c>
      <c r="T123" s="86">
        <f>0.017+0.004+0.004+0.0048-0.0091+0.0043+0.0155+0.0091+0.0108+0.0054-0.0199+0.0035+0.0108+0.0019+0.0075+0.0075-0.0438</f>
        <v>3.3300000000000031E-2</v>
      </c>
      <c r="U123" s="47">
        <f t="shared" si="23"/>
        <v>4.1242999999999999</v>
      </c>
      <c r="V123" s="25">
        <v>0</v>
      </c>
      <c r="W123" s="25">
        <v>0</v>
      </c>
      <c r="X123" s="26">
        <f t="shared" si="33"/>
        <v>4.1242999999999999</v>
      </c>
      <c r="Y123" s="25">
        <v>0</v>
      </c>
      <c r="Z123" s="24">
        <f>1.05*16</f>
        <v>16.8</v>
      </c>
      <c r="AA123" s="5">
        <f>Z123-X123-Y123</f>
        <v>12.675700000000001</v>
      </c>
      <c r="AB123" s="133"/>
      <c r="AC123" s="160"/>
    </row>
    <row r="124" spans="1:29" s="1" customFormat="1" ht="22.5" x14ac:dyDescent="0.2">
      <c r="A124" s="18">
        <v>77</v>
      </c>
      <c r="B124" s="18" t="s">
        <v>173</v>
      </c>
      <c r="C124" s="69" t="s">
        <v>29</v>
      </c>
      <c r="D124" s="69">
        <v>0.84</v>
      </c>
      <c r="E124" s="69">
        <v>0.312</v>
      </c>
      <c r="F124" s="69"/>
      <c r="G124" s="47">
        <v>0.89600000000000002</v>
      </c>
      <c r="H124" s="25">
        <v>0</v>
      </c>
      <c r="I124" s="25">
        <v>0</v>
      </c>
      <c r="J124" s="26">
        <f t="shared" si="32"/>
        <v>0.89600000000000002</v>
      </c>
      <c r="K124" s="25">
        <v>0</v>
      </c>
      <c r="L124" s="24">
        <f>1.05*6.3</f>
        <v>6.6150000000000002</v>
      </c>
      <c r="M124" s="6">
        <f>L124-J124-K124</f>
        <v>5.7190000000000003</v>
      </c>
      <c r="N124" s="48">
        <f>M124</f>
        <v>5.7190000000000003</v>
      </c>
      <c r="O124" s="17" t="s">
        <v>24</v>
      </c>
      <c r="P124" s="16"/>
      <c r="Q124" s="18">
        <v>77</v>
      </c>
      <c r="R124" s="12" t="s">
        <v>173</v>
      </c>
      <c r="S124" s="15" t="s">
        <v>29</v>
      </c>
      <c r="T124" s="86">
        <f>0.01+0.005+0.03+0.06+0.009+0.006-0.0656+0.0753+0.0075+0.0161+0.005914+0.0054+0.0054+0.1935-0.041</f>
        <v>0.32251400000000002</v>
      </c>
      <c r="U124" s="47">
        <f t="shared" si="23"/>
        <v>1.2185140000000001</v>
      </c>
      <c r="V124" s="25">
        <v>0</v>
      </c>
      <c r="W124" s="25">
        <v>0</v>
      </c>
      <c r="X124" s="26">
        <f t="shared" si="33"/>
        <v>1.2185140000000001</v>
      </c>
      <c r="Y124" s="25">
        <v>0</v>
      </c>
      <c r="Z124" s="24">
        <f>1.05*6.3</f>
        <v>6.6150000000000002</v>
      </c>
      <c r="AA124" s="6">
        <f>Z124-X124-Y124</f>
        <v>5.3964860000000003</v>
      </c>
      <c r="AB124" s="48">
        <f>AA124</f>
        <v>5.3964860000000003</v>
      </c>
      <c r="AC124" s="12" t="s">
        <v>24</v>
      </c>
    </row>
    <row r="125" spans="1:29" s="37" customFormat="1" ht="22.5" x14ac:dyDescent="0.2">
      <c r="A125" s="169">
        <v>78</v>
      </c>
      <c r="B125" s="22" t="s">
        <v>174</v>
      </c>
      <c r="C125" s="23" t="s">
        <v>30</v>
      </c>
      <c r="D125" s="23">
        <f>D126+D127</f>
        <v>16.608000000000001</v>
      </c>
      <c r="E125" s="23">
        <f>E126+E127</f>
        <v>10.081</v>
      </c>
      <c r="F125" s="23"/>
      <c r="G125" s="23">
        <f>G126+G127</f>
        <v>18.196999999999999</v>
      </c>
      <c r="H125" s="31">
        <v>0</v>
      </c>
      <c r="I125" s="31">
        <f>I126</f>
        <v>0</v>
      </c>
      <c r="J125" s="29">
        <f t="shared" si="32"/>
        <v>18.196999999999999</v>
      </c>
      <c r="K125" s="31">
        <v>0</v>
      </c>
      <c r="L125" s="30">
        <f>1.05*16</f>
        <v>16.8</v>
      </c>
      <c r="M125" s="3">
        <f>L125-J125-K125</f>
        <v>-1.3969999999999985</v>
      </c>
      <c r="N125" s="172">
        <f>MIN(M125:M127)</f>
        <v>-1.3969999999999985</v>
      </c>
      <c r="O125" s="173" t="s">
        <v>25</v>
      </c>
      <c r="P125" s="105"/>
      <c r="Q125" s="173">
        <v>78</v>
      </c>
      <c r="R125" s="22" t="s">
        <v>174</v>
      </c>
      <c r="S125" s="23" t="s">
        <v>30</v>
      </c>
      <c r="T125" s="88">
        <f>T126+T127</f>
        <v>0</v>
      </c>
      <c r="U125" s="51">
        <f>U126+U127</f>
        <v>18.196999999999999</v>
      </c>
      <c r="V125" s="31">
        <f>V126+V127</f>
        <v>0</v>
      </c>
      <c r="W125" s="31">
        <f>W126</f>
        <v>0</v>
      </c>
      <c r="X125" s="29">
        <f t="shared" si="33"/>
        <v>18.196999999999999</v>
      </c>
      <c r="Y125" s="31">
        <v>0</v>
      </c>
      <c r="Z125" s="30">
        <f>1.05*16</f>
        <v>16.8</v>
      </c>
      <c r="AA125" s="3">
        <f>Z125-X125-Y125</f>
        <v>-1.3969999999999985</v>
      </c>
      <c r="AB125" s="130">
        <f>MIN(AA125:AA127)</f>
        <v>-1.3969999999999985</v>
      </c>
      <c r="AC125" s="173" t="s">
        <v>25</v>
      </c>
    </row>
    <row r="126" spans="1:29" s="37" customFormat="1" ht="22.5" hidden="1" x14ac:dyDescent="0.2">
      <c r="A126" s="170"/>
      <c r="B126" s="35" t="s">
        <v>56</v>
      </c>
      <c r="C126" s="23" t="s">
        <v>30</v>
      </c>
      <c r="D126" s="23">
        <f>D189+D172+D181+D186+D183</f>
        <v>2.7579999999999996</v>
      </c>
      <c r="E126" s="23">
        <f>E189+E172+E181+E186+E183</f>
        <v>2.0829999999999997</v>
      </c>
      <c r="F126" s="23"/>
      <c r="G126" s="23">
        <f>G189+G172+G181+G186+G183</f>
        <v>3.508</v>
      </c>
      <c r="H126" s="31">
        <v>0</v>
      </c>
      <c r="I126" s="31">
        <v>0</v>
      </c>
      <c r="J126" s="29">
        <f t="shared" si="32"/>
        <v>3.508</v>
      </c>
      <c r="K126" s="31">
        <v>0</v>
      </c>
      <c r="L126" s="30">
        <f>1.05*16</f>
        <v>16.8</v>
      </c>
      <c r="M126" s="3">
        <f>L126-G126</f>
        <v>13.292000000000002</v>
      </c>
      <c r="N126" s="200"/>
      <c r="O126" s="193"/>
      <c r="P126" s="105"/>
      <c r="Q126" s="174"/>
      <c r="R126" s="35" t="s">
        <v>56</v>
      </c>
      <c r="S126" s="23" t="s">
        <v>30</v>
      </c>
      <c r="T126" s="88"/>
      <c r="U126" s="51">
        <f t="shared" si="23"/>
        <v>3.508</v>
      </c>
      <c r="V126" s="31">
        <v>0</v>
      </c>
      <c r="W126" s="31">
        <v>0</v>
      </c>
      <c r="X126" s="29">
        <f t="shared" si="33"/>
        <v>3.508</v>
      </c>
      <c r="Y126" s="31">
        <v>0</v>
      </c>
      <c r="Z126" s="30">
        <f>1.05*16</f>
        <v>16.8</v>
      </c>
      <c r="AA126" s="3">
        <f>Z126-U126</f>
        <v>13.292000000000002</v>
      </c>
      <c r="AB126" s="137"/>
      <c r="AC126" s="193"/>
    </row>
    <row r="127" spans="1:29" s="37" customFormat="1" ht="22.5" hidden="1" x14ac:dyDescent="0.2">
      <c r="A127" s="171"/>
      <c r="B127" s="35" t="s">
        <v>44</v>
      </c>
      <c r="C127" s="23" t="s">
        <v>30</v>
      </c>
      <c r="D127" s="23">
        <v>13.85</v>
      </c>
      <c r="E127" s="23">
        <v>7.9980000000000002</v>
      </c>
      <c r="F127" s="23"/>
      <c r="G127" s="49">
        <v>14.689</v>
      </c>
      <c r="H127" s="31">
        <v>0</v>
      </c>
      <c r="I127" s="31">
        <v>0</v>
      </c>
      <c r="J127" s="29">
        <f t="shared" si="32"/>
        <v>14.689</v>
      </c>
      <c r="K127" s="31">
        <v>0</v>
      </c>
      <c r="L127" s="30">
        <f>1.05*16</f>
        <v>16.8</v>
      </c>
      <c r="M127" s="3">
        <f>L127-J127-K127</f>
        <v>2.1110000000000007</v>
      </c>
      <c r="N127" s="201"/>
      <c r="O127" s="194"/>
      <c r="P127" s="105"/>
      <c r="Q127" s="175"/>
      <c r="R127" s="35" t="s">
        <v>44</v>
      </c>
      <c r="S127" s="23" t="s">
        <v>30</v>
      </c>
      <c r="T127" s="88"/>
      <c r="U127" s="51">
        <f t="shared" si="23"/>
        <v>14.689</v>
      </c>
      <c r="V127" s="31">
        <v>0</v>
      </c>
      <c r="W127" s="31">
        <v>0</v>
      </c>
      <c r="X127" s="29">
        <f t="shared" si="33"/>
        <v>14.689</v>
      </c>
      <c r="Y127" s="31">
        <v>0</v>
      </c>
      <c r="Z127" s="30">
        <f>1.05*16</f>
        <v>16.8</v>
      </c>
      <c r="AA127" s="3">
        <f>Z127-X127-Y127</f>
        <v>2.1110000000000007</v>
      </c>
      <c r="AB127" s="138"/>
      <c r="AC127" s="194"/>
    </row>
    <row r="128" spans="1:29" s="1" customFormat="1" ht="22.5" x14ac:dyDescent="0.2">
      <c r="A128" s="18">
        <v>79</v>
      </c>
      <c r="B128" s="12" t="s">
        <v>175</v>
      </c>
      <c r="C128" s="69" t="s">
        <v>40</v>
      </c>
      <c r="D128" s="69">
        <v>8.4179999999999993</v>
      </c>
      <c r="E128" s="69">
        <v>2.88</v>
      </c>
      <c r="F128" s="69"/>
      <c r="G128" s="47">
        <v>8.8989999999999991</v>
      </c>
      <c r="H128" s="25">
        <v>0</v>
      </c>
      <c r="I128" s="25">
        <v>0</v>
      </c>
      <c r="J128" s="26">
        <f t="shared" si="32"/>
        <v>8.8989999999999991</v>
      </c>
      <c r="K128" s="25">
        <v>0</v>
      </c>
      <c r="L128" s="24">
        <f>1.05*10</f>
        <v>10.5</v>
      </c>
      <c r="M128" s="6">
        <f>L128-J128-K128</f>
        <v>1.6010000000000009</v>
      </c>
      <c r="N128" s="48">
        <f>M128</f>
        <v>1.6010000000000009</v>
      </c>
      <c r="O128" s="17" t="s">
        <v>24</v>
      </c>
      <c r="P128" s="16"/>
      <c r="Q128" s="18">
        <v>79</v>
      </c>
      <c r="R128" s="12" t="s">
        <v>175</v>
      </c>
      <c r="S128" s="15" t="s">
        <v>40</v>
      </c>
      <c r="T128" s="86">
        <f>0.311+0.029+0.024+0.01+0.304+0.145+0.005+0.009+0.011+0.0108+0.0223-0.1704+0.0048+0.0048+0.2742+0.0914-0.0228+0.0376+0.0054+0.0059+0.0204-0.1693+0.014</f>
        <v>0.9771000000000003</v>
      </c>
      <c r="U128" s="47">
        <f t="shared" si="23"/>
        <v>9.8760999999999992</v>
      </c>
      <c r="V128" s="25">
        <v>0</v>
      </c>
      <c r="W128" s="25">
        <v>0</v>
      </c>
      <c r="X128" s="26">
        <f t="shared" si="33"/>
        <v>9.8760999999999992</v>
      </c>
      <c r="Y128" s="25">
        <v>0</v>
      </c>
      <c r="Z128" s="24">
        <f>1.05*10</f>
        <v>10.5</v>
      </c>
      <c r="AA128" s="6">
        <f>Z128-X128-Y128</f>
        <v>0.62390000000000079</v>
      </c>
      <c r="AB128" s="48">
        <f>AA128</f>
        <v>0.62390000000000079</v>
      </c>
      <c r="AC128" s="12" t="s">
        <v>24</v>
      </c>
    </row>
    <row r="129" spans="1:29" s="1" customFormat="1" ht="22.5" x14ac:dyDescent="0.2">
      <c r="A129" s="18">
        <v>80</v>
      </c>
      <c r="B129" s="18" t="s">
        <v>177</v>
      </c>
      <c r="C129" s="69" t="s">
        <v>29</v>
      </c>
      <c r="D129" s="69">
        <v>0.78</v>
      </c>
      <c r="E129" s="69">
        <v>0.48299999999999998</v>
      </c>
      <c r="F129" s="69"/>
      <c r="G129" s="47">
        <v>0.91800000000000004</v>
      </c>
      <c r="H129" s="25">
        <v>0</v>
      </c>
      <c r="I129" s="25">
        <v>0</v>
      </c>
      <c r="J129" s="26">
        <f t="shared" si="32"/>
        <v>0.91800000000000004</v>
      </c>
      <c r="K129" s="25">
        <v>0</v>
      </c>
      <c r="L129" s="24">
        <f>1.05*6.3</f>
        <v>6.6150000000000002</v>
      </c>
      <c r="M129" s="6">
        <f>L129-J129-K129</f>
        <v>5.6970000000000001</v>
      </c>
      <c r="N129" s="48">
        <f>M129</f>
        <v>5.6970000000000001</v>
      </c>
      <c r="O129" s="17" t="s">
        <v>24</v>
      </c>
      <c r="P129" s="16"/>
      <c r="Q129" s="18">
        <v>80</v>
      </c>
      <c r="R129" s="12" t="s">
        <v>177</v>
      </c>
      <c r="S129" s="15" t="s">
        <v>29</v>
      </c>
      <c r="T129" s="86">
        <f>0.011+0.005+0.0086-0.0163+0.0065+0.0081+0.0007+0.0065-0.0132+0.0081+0.0068-0.0132</f>
        <v>1.8599999999999995E-2</v>
      </c>
      <c r="U129" s="47">
        <f t="shared" si="23"/>
        <v>0.93659999999999999</v>
      </c>
      <c r="V129" s="25">
        <v>0</v>
      </c>
      <c r="W129" s="25">
        <v>0</v>
      </c>
      <c r="X129" s="26">
        <f t="shared" si="33"/>
        <v>0.93659999999999999</v>
      </c>
      <c r="Y129" s="25">
        <v>0</v>
      </c>
      <c r="Z129" s="24">
        <f>1.05*6.3</f>
        <v>6.6150000000000002</v>
      </c>
      <c r="AA129" s="6">
        <f>Z129-X129-Y129</f>
        <v>5.6783999999999999</v>
      </c>
      <c r="AB129" s="48">
        <f>AA129</f>
        <v>5.6783999999999999</v>
      </c>
      <c r="AC129" s="12" t="s">
        <v>24</v>
      </c>
    </row>
    <row r="130" spans="1:29" s="1" customFormat="1" ht="22.5" x14ac:dyDescent="0.2">
      <c r="A130" s="169">
        <v>81</v>
      </c>
      <c r="B130" s="12" t="s">
        <v>176</v>
      </c>
      <c r="C130" s="69" t="s">
        <v>30</v>
      </c>
      <c r="D130" s="69">
        <f>D131+D132</f>
        <v>13.478000000000002</v>
      </c>
      <c r="E130" s="69">
        <f>E131+E132</f>
        <v>5.7709999999999999</v>
      </c>
      <c r="F130" s="69"/>
      <c r="G130" s="69">
        <f>G131+G132</f>
        <v>14.661999999999999</v>
      </c>
      <c r="H130" s="25">
        <f>H131+H132</f>
        <v>6.45</v>
      </c>
      <c r="I130" s="25" t="str">
        <f>I131</f>
        <v>3 час</v>
      </c>
      <c r="J130" s="26">
        <f t="shared" si="32"/>
        <v>8.2119999999999997</v>
      </c>
      <c r="K130" s="25">
        <v>0</v>
      </c>
      <c r="L130" s="24">
        <f>1.05*16</f>
        <v>16.8</v>
      </c>
      <c r="M130" s="5">
        <f>L130-J130-K130</f>
        <v>8.588000000000001</v>
      </c>
      <c r="N130" s="157">
        <f>MIN(M130:M132)</f>
        <v>8.588000000000001</v>
      </c>
      <c r="O130" s="158" t="s">
        <v>24</v>
      </c>
      <c r="P130" s="16"/>
      <c r="Q130" s="169">
        <v>81</v>
      </c>
      <c r="R130" s="12" t="s">
        <v>176</v>
      </c>
      <c r="S130" s="15" t="s">
        <v>30</v>
      </c>
      <c r="T130" s="86">
        <f>T131+T132</f>
        <v>2.1712999999999996</v>
      </c>
      <c r="U130" s="47">
        <f>U131+U132</f>
        <v>16.833299999999998</v>
      </c>
      <c r="V130" s="25">
        <f>V131+V132</f>
        <v>6.45</v>
      </c>
      <c r="W130" s="25" t="str">
        <f>W131</f>
        <v>3 час</v>
      </c>
      <c r="X130" s="26">
        <f t="shared" si="33"/>
        <v>10.383299999999998</v>
      </c>
      <c r="Y130" s="25">
        <v>0</v>
      </c>
      <c r="Z130" s="24">
        <f>1.05*16</f>
        <v>16.8</v>
      </c>
      <c r="AA130" s="5">
        <f>Z130-X130-Y130</f>
        <v>6.4167000000000023</v>
      </c>
      <c r="AB130" s="129">
        <f>MIN(AA130:AA132)</f>
        <v>6.4167000000000023</v>
      </c>
      <c r="AC130" s="158" t="s">
        <v>24</v>
      </c>
    </row>
    <row r="131" spans="1:29" s="1" customFormat="1" ht="22.5" hidden="1" x14ac:dyDescent="0.2">
      <c r="A131" s="170"/>
      <c r="B131" s="27" t="s">
        <v>56</v>
      </c>
      <c r="C131" s="69" t="s">
        <v>30</v>
      </c>
      <c r="D131" s="69">
        <v>5.9930000000000003</v>
      </c>
      <c r="E131" s="69">
        <v>2.6269999999999998</v>
      </c>
      <c r="F131" s="69"/>
      <c r="G131" s="69">
        <v>6.5430000000000001</v>
      </c>
      <c r="H131" s="25">
        <v>6.45</v>
      </c>
      <c r="I131" s="25" t="s">
        <v>55</v>
      </c>
      <c r="J131" s="26">
        <v>0</v>
      </c>
      <c r="K131" s="25">
        <v>0</v>
      </c>
      <c r="L131" s="24">
        <f>1.05*16</f>
        <v>16.8</v>
      </c>
      <c r="M131" s="5">
        <f>L131-G131</f>
        <v>10.257000000000001</v>
      </c>
      <c r="N131" s="179"/>
      <c r="O131" s="159"/>
      <c r="P131" s="16"/>
      <c r="Q131" s="170"/>
      <c r="R131" s="27" t="s">
        <v>56</v>
      </c>
      <c r="S131" s="15" t="s">
        <v>30</v>
      </c>
      <c r="T131" s="86"/>
      <c r="U131" s="47">
        <f t="shared" si="23"/>
        <v>6.5430000000000001</v>
      </c>
      <c r="V131" s="25">
        <v>6.45</v>
      </c>
      <c r="W131" s="25" t="s">
        <v>55</v>
      </c>
      <c r="X131" s="26">
        <v>0</v>
      </c>
      <c r="Y131" s="25">
        <v>0</v>
      </c>
      <c r="Z131" s="24">
        <f>1.05*16</f>
        <v>16.8</v>
      </c>
      <c r="AA131" s="5">
        <f>Z131-U131</f>
        <v>10.257000000000001</v>
      </c>
      <c r="AB131" s="132"/>
      <c r="AC131" s="159"/>
    </row>
    <row r="132" spans="1:29" s="1" customFormat="1" ht="22.5" hidden="1" x14ac:dyDescent="0.2">
      <c r="A132" s="171"/>
      <c r="B132" s="27" t="s">
        <v>44</v>
      </c>
      <c r="C132" s="69" t="s">
        <v>30</v>
      </c>
      <c r="D132" s="69">
        <v>7.4850000000000003</v>
      </c>
      <c r="E132" s="69">
        <v>3.1440000000000001</v>
      </c>
      <c r="F132" s="69"/>
      <c r="G132" s="48">
        <v>8.1189999999999998</v>
      </c>
      <c r="H132" s="25">
        <v>0</v>
      </c>
      <c r="I132" s="25">
        <v>0</v>
      </c>
      <c r="J132" s="26">
        <f t="shared" si="32"/>
        <v>8.1189999999999998</v>
      </c>
      <c r="K132" s="25">
        <v>0</v>
      </c>
      <c r="L132" s="24">
        <f>1.05*16</f>
        <v>16.8</v>
      </c>
      <c r="M132" s="5">
        <f>L132-J132-K132</f>
        <v>8.6810000000000009</v>
      </c>
      <c r="N132" s="180"/>
      <c r="O132" s="160"/>
      <c r="P132" s="16"/>
      <c r="Q132" s="171"/>
      <c r="R132" s="27" t="s">
        <v>44</v>
      </c>
      <c r="S132" s="15" t="s">
        <v>30</v>
      </c>
      <c r="T132" s="86">
        <f>0.303+0.012+2.692+0.516+0.01+0.016+0.0306-1.702+0.0048+0.0468+0.007-0.0869+0.0003+0.0048+0.0048+0.0048+0.3387+0.0183-0.068+0.0183</f>
        <v>2.1712999999999996</v>
      </c>
      <c r="U132" s="47">
        <f t="shared" si="23"/>
        <v>10.290299999999998</v>
      </c>
      <c r="V132" s="25">
        <v>0</v>
      </c>
      <c r="W132" s="25">
        <v>0</v>
      </c>
      <c r="X132" s="26">
        <f t="shared" si="33"/>
        <v>10.290299999999998</v>
      </c>
      <c r="Y132" s="25">
        <v>0</v>
      </c>
      <c r="Z132" s="24">
        <f>1.05*16</f>
        <v>16.8</v>
      </c>
      <c r="AA132" s="5">
        <f>Z132-X132-Y132</f>
        <v>6.5097000000000023</v>
      </c>
      <c r="AB132" s="133"/>
      <c r="AC132" s="160"/>
    </row>
    <row r="133" spans="1:29" s="74" customFormat="1" ht="22.5" x14ac:dyDescent="0.2">
      <c r="A133" s="18">
        <v>82</v>
      </c>
      <c r="B133" s="18" t="s">
        <v>103</v>
      </c>
      <c r="C133" s="69" t="s">
        <v>29</v>
      </c>
      <c r="D133" s="69">
        <v>2.7360000000000002</v>
      </c>
      <c r="E133" s="69">
        <v>1.1399999999999999</v>
      </c>
      <c r="F133" s="69"/>
      <c r="G133" s="79">
        <v>2.964</v>
      </c>
      <c r="H133" s="18">
        <v>0</v>
      </c>
      <c r="I133" s="18">
        <v>0</v>
      </c>
      <c r="J133" s="71">
        <f>G133</f>
        <v>2.964</v>
      </c>
      <c r="K133" s="18">
        <v>0</v>
      </c>
      <c r="L133" s="70">
        <f>1.05*6.3</f>
        <v>6.6150000000000002</v>
      </c>
      <c r="M133" s="71">
        <f t="shared" ref="M133:M164" si="34">L133-K133-J133</f>
        <v>3.6510000000000002</v>
      </c>
      <c r="N133" s="79">
        <f t="shared" ref="N133:N164" si="35">M133</f>
        <v>3.6510000000000002</v>
      </c>
      <c r="O133" s="97" t="s">
        <v>24</v>
      </c>
      <c r="P133" s="104"/>
      <c r="Q133" s="18">
        <v>82</v>
      </c>
      <c r="R133" s="18" t="s">
        <v>103</v>
      </c>
      <c r="S133" s="69" t="s">
        <v>29</v>
      </c>
      <c r="T133" s="108">
        <f>0.043</f>
        <v>4.2999999999999997E-2</v>
      </c>
      <c r="U133" s="79">
        <f t="shared" si="23"/>
        <v>3.0070000000000001</v>
      </c>
      <c r="V133" s="18">
        <v>0</v>
      </c>
      <c r="W133" s="18">
        <v>0</v>
      </c>
      <c r="X133" s="71">
        <f>U133</f>
        <v>3.0070000000000001</v>
      </c>
      <c r="Y133" s="18">
        <v>0</v>
      </c>
      <c r="Z133" s="70">
        <f>1.05*6.3</f>
        <v>6.6150000000000002</v>
      </c>
      <c r="AA133" s="71">
        <f t="shared" ref="AA133:AA164" si="36">Z133-Y133-X133</f>
        <v>3.6080000000000001</v>
      </c>
      <c r="AB133" s="79">
        <f t="shared" ref="AB133:AB171" si="37">AA133</f>
        <v>3.6080000000000001</v>
      </c>
      <c r="AC133" s="18" t="s">
        <v>24</v>
      </c>
    </row>
    <row r="134" spans="1:29" s="1" customFormat="1" ht="22.5" x14ac:dyDescent="0.2">
      <c r="A134" s="18">
        <v>83</v>
      </c>
      <c r="B134" s="12" t="s">
        <v>104</v>
      </c>
      <c r="C134" s="69" t="s">
        <v>29</v>
      </c>
      <c r="D134" s="69">
        <v>2.774</v>
      </c>
      <c r="E134" s="69">
        <v>1.1850000000000001</v>
      </c>
      <c r="F134" s="69"/>
      <c r="G134" s="47">
        <v>3.0179999999999998</v>
      </c>
      <c r="H134" s="12">
        <v>0</v>
      </c>
      <c r="I134" s="12">
        <v>0</v>
      </c>
      <c r="J134" s="12">
        <f t="shared" ref="J134:J165" si="38">G134-H134</f>
        <v>3.0179999999999998</v>
      </c>
      <c r="K134" s="12">
        <v>0</v>
      </c>
      <c r="L134" s="14">
        <f>1.05*6.3</f>
        <v>6.6150000000000002</v>
      </c>
      <c r="M134" s="13">
        <f t="shared" si="34"/>
        <v>3.5970000000000004</v>
      </c>
      <c r="N134" s="47">
        <f t="shared" si="35"/>
        <v>3.5970000000000004</v>
      </c>
      <c r="O134" s="17" t="s">
        <v>24</v>
      </c>
      <c r="P134" s="16"/>
      <c r="Q134" s="18">
        <v>83</v>
      </c>
      <c r="R134" s="12" t="s">
        <v>104</v>
      </c>
      <c r="S134" s="15" t="s">
        <v>29</v>
      </c>
      <c r="T134" s="86">
        <f>0.003+0.005+0.0161-0.0113+0.0059+0.0161+0.0038</f>
        <v>3.8599999999999995E-2</v>
      </c>
      <c r="U134" s="47">
        <f t="shared" si="23"/>
        <v>3.0566</v>
      </c>
      <c r="V134" s="12">
        <v>0</v>
      </c>
      <c r="W134" s="12">
        <v>0</v>
      </c>
      <c r="X134" s="12">
        <f t="shared" ref="X134:X165" si="39">U134-V134</f>
        <v>3.0566</v>
      </c>
      <c r="Y134" s="12">
        <v>0</v>
      </c>
      <c r="Z134" s="14">
        <f>1.05*6.3</f>
        <v>6.6150000000000002</v>
      </c>
      <c r="AA134" s="13">
        <f t="shared" si="36"/>
        <v>3.5584000000000002</v>
      </c>
      <c r="AB134" s="47">
        <f t="shared" si="37"/>
        <v>3.5584000000000002</v>
      </c>
      <c r="AC134" s="12" t="s">
        <v>24</v>
      </c>
    </row>
    <row r="135" spans="1:29" s="1" customFormat="1" ht="22.5" x14ac:dyDescent="0.2">
      <c r="A135" s="18">
        <v>84</v>
      </c>
      <c r="B135" s="12" t="s">
        <v>105</v>
      </c>
      <c r="C135" s="69" t="s">
        <v>28</v>
      </c>
      <c r="D135" s="69">
        <v>0.56200000000000006</v>
      </c>
      <c r="E135" s="69">
        <v>0.17499999999999999</v>
      </c>
      <c r="F135" s="69"/>
      <c r="G135" s="47">
        <v>0.58799999999999997</v>
      </c>
      <c r="H135" s="12">
        <v>0</v>
      </c>
      <c r="I135" s="12">
        <v>0</v>
      </c>
      <c r="J135" s="12">
        <f t="shared" si="38"/>
        <v>0.58799999999999997</v>
      </c>
      <c r="K135" s="12">
        <v>0</v>
      </c>
      <c r="L135" s="14">
        <f>1.05*1.6</f>
        <v>1.6800000000000002</v>
      </c>
      <c r="M135" s="13">
        <f t="shared" si="34"/>
        <v>1.0920000000000001</v>
      </c>
      <c r="N135" s="47">
        <f t="shared" si="35"/>
        <v>1.0920000000000001</v>
      </c>
      <c r="O135" s="17" t="s">
        <v>24</v>
      </c>
      <c r="P135" s="16"/>
      <c r="Q135" s="18">
        <v>84</v>
      </c>
      <c r="R135" s="12" t="s">
        <v>105</v>
      </c>
      <c r="S135" s="15" t="s">
        <v>28</v>
      </c>
      <c r="T135" s="86">
        <f>0.011-0.0032+0.1075+0.215-0.1075+0.0068-0.0016+0.0086</f>
        <v>0.2366</v>
      </c>
      <c r="U135" s="47">
        <f t="shared" si="23"/>
        <v>0.8246</v>
      </c>
      <c r="V135" s="12">
        <v>0</v>
      </c>
      <c r="W135" s="12">
        <v>0</v>
      </c>
      <c r="X135" s="12">
        <f t="shared" si="39"/>
        <v>0.8246</v>
      </c>
      <c r="Y135" s="12">
        <v>0</v>
      </c>
      <c r="Z135" s="14">
        <f>1.05*1.6</f>
        <v>1.6800000000000002</v>
      </c>
      <c r="AA135" s="13">
        <f t="shared" si="36"/>
        <v>0.85540000000000016</v>
      </c>
      <c r="AB135" s="47">
        <f t="shared" si="37"/>
        <v>0.85540000000000016</v>
      </c>
      <c r="AC135" s="12" t="s">
        <v>24</v>
      </c>
    </row>
    <row r="136" spans="1:29" s="1" customFormat="1" ht="22.5" x14ac:dyDescent="0.2">
      <c r="A136" s="18">
        <v>85</v>
      </c>
      <c r="B136" s="12" t="s">
        <v>106</v>
      </c>
      <c r="C136" s="69" t="s">
        <v>54</v>
      </c>
      <c r="D136" s="69">
        <v>1.7170000000000001</v>
      </c>
      <c r="E136" s="69">
        <v>0.82699999999999996</v>
      </c>
      <c r="F136" s="69"/>
      <c r="G136" s="47">
        <v>1.9059999999999999</v>
      </c>
      <c r="H136" s="12">
        <v>0</v>
      </c>
      <c r="I136" s="12">
        <v>0</v>
      </c>
      <c r="J136" s="14">
        <f t="shared" si="38"/>
        <v>1.9059999999999999</v>
      </c>
      <c r="K136" s="12">
        <v>0</v>
      </c>
      <c r="L136" s="14">
        <f>1.05*3.2</f>
        <v>3.3600000000000003</v>
      </c>
      <c r="M136" s="14">
        <f t="shared" si="34"/>
        <v>1.4540000000000004</v>
      </c>
      <c r="N136" s="47">
        <f t="shared" si="35"/>
        <v>1.4540000000000004</v>
      </c>
      <c r="O136" s="17" t="s">
        <v>24</v>
      </c>
      <c r="P136" s="16"/>
      <c r="Q136" s="18">
        <v>85</v>
      </c>
      <c r="R136" s="12" t="s">
        <v>106</v>
      </c>
      <c r="S136" s="15" t="s">
        <v>54</v>
      </c>
      <c r="T136" s="86">
        <f>0.0022+0.0161+0.215-0.0022</f>
        <v>0.2311</v>
      </c>
      <c r="U136" s="47">
        <f t="shared" ref="U136:U195" si="40">T136+G136</f>
        <v>2.1370999999999998</v>
      </c>
      <c r="V136" s="12">
        <v>0</v>
      </c>
      <c r="W136" s="12">
        <v>0</v>
      </c>
      <c r="X136" s="12">
        <f t="shared" si="39"/>
        <v>2.1370999999999998</v>
      </c>
      <c r="Y136" s="12">
        <v>0</v>
      </c>
      <c r="Z136" s="14">
        <f>1.05*3.2</f>
        <v>3.3600000000000003</v>
      </c>
      <c r="AA136" s="13">
        <f t="shared" si="36"/>
        <v>1.2229000000000005</v>
      </c>
      <c r="AB136" s="47">
        <f t="shared" si="37"/>
        <v>1.2229000000000005</v>
      </c>
      <c r="AC136" s="12" t="s">
        <v>24</v>
      </c>
    </row>
    <row r="137" spans="1:29" s="1" customFormat="1" ht="33.75" x14ac:dyDescent="0.2">
      <c r="A137" s="18">
        <v>86</v>
      </c>
      <c r="B137" s="12" t="s">
        <v>107</v>
      </c>
      <c r="C137" s="69" t="s">
        <v>34</v>
      </c>
      <c r="D137" s="69">
        <v>1.1830000000000001</v>
      </c>
      <c r="E137" s="69">
        <v>0.61499999999999999</v>
      </c>
      <c r="F137" s="69"/>
      <c r="G137" s="47">
        <v>1.335</v>
      </c>
      <c r="H137" s="12">
        <v>0</v>
      </c>
      <c r="I137" s="12">
        <v>0</v>
      </c>
      <c r="J137" s="12">
        <f t="shared" si="38"/>
        <v>1.335</v>
      </c>
      <c r="K137" s="12">
        <v>0</v>
      </c>
      <c r="L137" s="14">
        <f>1.05*4</f>
        <v>4.2</v>
      </c>
      <c r="M137" s="13">
        <f t="shared" si="34"/>
        <v>2.8650000000000002</v>
      </c>
      <c r="N137" s="47">
        <f t="shared" si="35"/>
        <v>2.8650000000000002</v>
      </c>
      <c r="O137" s="17" t="s">
        <v>24</v>
      </c>
      <c r="P137" s="16"/>
      <c r="Q137" s="18">
        <v>86</v>
      </c>
      <c r="R137" s="12" t="s">
        <v>107</v>
      </c>
      <c r="S137" s="15" t="s">
        <v>34</v>
      </c>
      <c r="T137" s="86">
        <f>0.007+0.004+0.003+0.021+0.004+0.002+0.0151+0.0054-0.0102+0.029+0.0161+0.0161+0.086+0.0086+0.0339+0.0204-0.1348+0.0048-0.0371</f>
        <v>9.4299999999999967E-2</v>
      </c>
      <c r="U137" s="47">
        <f t="shared" si="40"/>
        <v>1.4293</v>
      </c>
      <c r="V137" s="12">
        <v>0</v>
      </c>
      <c r="W137" s="12">
        <v>0</v>
      </c>
      <c r="X137" s="12">
        <f t="shared" si="39"/>
        <v>1.4293</v>
      </c>
      <c r="Y137" s="12">
        <v>0</v>
      </c>
      <c r="Z137" s="14">
        <f>1.05*4</f>
        <v>4.2</v>
      </c>
      <c r="AA137" s="13">
        <f t="shared" si="36"/>
        <v>2.7707000000000002</v>
      </c>
      <c r="AB137" s="47">
        <f t="shared" si="37"/>
        <v>2.7707000000000002</v>
      </c>
      <c r="AC137" s="12" t="s">
        <v>24</v>
      </c>
    </row>
    <row r="138" spans="1:29" s="1" customFormat="1" ht="22.5" x14ac:dyDescent="0.2">
      <c r="A138" s="18">
        <v>87</v>
      </c>
      <c r="B138" s="12" t="s">
        <v>108</v>
      </c>
      <c r="C138" s="69" t="s">
        <v>27</v>
      </c>
      <c r="D138" s="69">
        <v>0.34599999999999997</v>
      </c>
      <c r="E138" s="69">
        <v>0.115</v>
      </c>
      <c r="F138" s="69"/>
      <c r="G138" s="47">
        <v>0.36499999999999999</v>
      </c>
      <c r="H138" s="12">
        <v>0</v>
      </c>
      <c r="I138" s="12">
        <v>0</v>
      </c>
      <c r="J138" s="12">
        <f t="shared" si="38"/>
        <v>0.36499999999999999</v>
      </c>
      <c r="K138" s="12">
        <v>0</v>
      </c>
      <c r="L138" s="14">
        <f>1.05*2.5</f>
        <v>2.625</v>
      </c>
      <c r="M138" s="14">
        <f t="shared" si="34"/>
        <v>2.2599999999999998</v>
      </c>
      <c r="N138" s="47">
        <f t="shared" si="35"/>
        <v>2.2599999999999998</v>
      </c>
      <c r="O138" s="17" t="s">
        <v>24</v>
      </c>
      <c r="P138" s="16"/>
      <c r="Q138" s="18">
        <v>87</v>
      </c>
      <c r="R138" s="12" t="s">
        <v>108</v>
      </c>
      <c r="S138" s="15" t="s">
        <v>27</v>
      </c>
      <c r="T138" s="86">
        <f>0.016+0.0155+0.0108+0.016128+0.0065+0.0065+0.0161-0.0333</f>
        <v>5.4228000000000019E-2</v>
      </c>
      <c r="U138" s="47">
        <f t="shared" si="40"/>
        <v>0.41922799999999999</v>
      </c>
      <c r="V138" s="12">
        <v>0</v>
      </c>
      <c r="W138" s="12">
        <v>0</v>
      </c>
      <c r="X138" s="12">
        <f t="shared" si="39"/>
        <v>0.41922799999999999</v>
      </c>
      <c r="Y138" s="12">
        <v>0</v>
      </c>
      <c r="Z138" s="14">
        <f>1.05*2.5</f>
        <v>2.625</v>
      </c>
      <c r="AA138" s="13">
        <f t="shared" si="36"/>
        <v>2.2057720000000001</v>
      </c>
      <c r="AB138" s="47">
        <f t="shared" si="37"/>
        <v>2.2057720000000001</v>
      </c>
      <c r="AC138" s="12" t="s">
        <v>24</v>
      </c>
    </row>
    <row r="139" spans="1:29" s="100" customFormat="1" ht="22.5" x14ac:dyDescent="0.2">
      <c r="A139" s="65">
        <v>88</v>
      </c>
      <c r="B139" s="31" t="s">
        <v>109</v>
      </c>
      <c r="C139" s="32" t="s">
        <v>46</v>
      </c>
      <c r="D139" s="32">
        <v>9.92</v>
      </c>
      <c r="E139" s="32">
        <v>4.41</v>
      </c>
      <c r="F139" s="32"/>
      <c r="G139" s="49">
        <v>10.856</v>
      </c>
      <c r="H139" s="31">
        <v>0</v>
      </c>
      <c r="I139" s="31">
        <v>0</v>
      </c>
      <c r="J139" s="31">
        <f t="shared" si="38"/>
        <v>10.856</v>
      </c>
      <c r="K139" s="31">
        <v>0</v>
      </c>
      <c r="L139" s="30">
        <f>1.05*6.3</f>
        <v>6.6150000000000002</v>
      </c>
      <c r="M139" s="29">
        <f t="shared" si="34"/>
        <v>-4.2409999999999997</v>
      </c>
      <c r="N139" s="49">
        <f t="shared" si="35"/>
        <v>-4.2409999999999997</v>
      </c>
      <c r="O139" s="101" t="s">
        <v>25</v>
      </c>
      <c r="P139" s="98"/>
      <c r="Q139" s="31">
        <v>88</v>
      </c>
      <c r="R139" s="31" t="s">
        <v>109</v>
      </c>
      <c r="S139" s="32" t="s">
        <v>46</v>
      </c>
      <c r="T139" s="87">
        <v>0</v>
      </c>
      <c r="U139" s="49">
        <f t="shared" si="40"/>
        <v>10.856</v>
      </c>
      <c r="V139" s="31">
        <v>0</v>
      </c>
      <c r="W139" s="31">
        <v>0</v>
      </c>
      <c r="X139" s="31">
        <f t="shared" si="39"/>
        <v>10.856</v>
      </c>
      <c r="Y139" s="31">
        <v>0</v>
      </c>
      <c r="Z139" s="30">
        <f>1.05*6.3</f>
        <v>6.6150000000000002</v>
      </c>
      <c r="AA139" s="29">
        <f t="shared" si="36"/>
        <v>-4.2409999999999997</v>
      </c>
      <c r="AB139" s="49">
        <f>AA139</f>
        <v>-4.2409999999999997</v>
      </c>
      <c r="AC139" s="31" t="s">
        <v>25</v>
      </c>
    </row>
    <row r="140" spans="1:29" s="1" customFormat="1" ht="22.5" x14ac:dyDescent="0.2">
      <c r="A140" s="18">
        <v>89</v>
      </c>
      <c r="B140" s="12" t="s">
        <v>110</v>
      </c>
      <c r="C140" s="69" t="s">
        <v>36</v>
      </c>
      <c r="D140" s="69">
        <v>1.0409999999999999</v>
      </c>
      <c r="E140" s="69">
        <v>0.47199999999999998</v>
      </c>
      <c r="F140" s="69"/>
      <c r="G140" s="47">
        <v>1.143</v>
      </c>
      <c r="H140" s="12">
        <v>0</v>
      </c>
      <c r="I140" s="12">
        <v>0</v>
      </c>
      <c r="J140" s="12">
        <f t="shared" si="38"/>
        <v>1.143</v>
      </c>
      <c r="K140" s="12">
        <v>0</v>
      </c>
      <c r="L140" s="14">
        <f>1.05*2.5</f>
        <v>2.625</v>
      </c>
      <c r="M140" s="13">
        <f t="shared" si="34"/>
        <v>1.482</v>
      </c>
      <c r="N140" s="47">
        <f t="shared" si="35"/>
        <v>1.482</v>
      </c>
      <c r="O140" s="17" t="s">
        <v>24</v>
      </c>
      <c r="P140" s="16"/>
      <c r="Q140" s="18">
        <v>89</v>
      </c>
      <c r="R140" s="12" t="s">
        <v>110</v>
      </c>
      <c r="S140" s="15" t="s">
        <v>36</v>
      </c>
      <c r="T140" s="86">
        <f>0.013+0.007+0.007+0.0145+0.0161-0.0134+0.0077+0.0075-0.0269+0.0145+0.0159-0.0183+0.0065</f>
        <v>5.11E-2</v>
      </c>
      <c r="U140" s="47">
        <f t="shared" si="40"/>
        <v>1.1940999999999999</v>
      </c>
      <c r="V140" s="12">
        <v>0</v>
      </c>
      <c r="W140" s="12">
        <v>0</v>
      </c>
      <c r="X140" s="12">
        <f t="shared" si="39"/>
        <v>1.1940999999999999</v>
      </c>
      <c r="Y140" s="12">
        <v>0</v>
      </c>
      <c r="Z140" s="14">
        <f>1.05*2.5</f>
        <v>2.625</v>
      </c>
      <c r="AA140" s="13">
        <f t="shared" si="36"/>
        <v>1.4309000000000001</v>
      </c>
      <c r="AB140" s="47">
        <f t="shared" si="37"/>
        <v>1.4309000000000001</v>
      </c>
      <c r="AC140" s="12" t="s">
        <v>24</v>
      </c>
    </row>
    <row r="141" spans="1:29" s="1" customFormat="1" ht="22.5" x14ac:dyDescent="0.2">
      <c r="A141" s="18">
        <v>90</v>
      </c>
      <c r="B141" s="22" t="s">
        <v>111</v>
      </c>
      <c r="C141" s="23" t="s">
        <v>26</v>
      </c>
      <c r="D141" s="23">
        <v>12.57</v>
      </c>
      <c r="E141" s="23">
        <v>4.67</v>
      </c>
      <c r="F141" s="23"/>
      <c r="G141" s="51">
        <v>13.409000000000001</v>
      </c>
      <c r="H141" s="22">
        <v>0</v>
      </c>
      <c r="I141" s="22">
        <v>0</v>
      </c>
      <c r="J141" s="22">
        <f t="shared" si="38"/>
        <v>13.409000000000001</v>
      </c>
      <c r="K141" s="22">
        <v>0</v>
      </c>
      <c r="L141" s="21">
        <f>1.05*10</f>
        <v>10.5</v>
      </c>
      <c r="M141" s="20">
        <f t="shared" si="34"/>
        <v>-2.9090000000000007</v>
      </c>
      <c r="N141" s="51">
        <f t="shared" si="35"/>
        <v>-2.9090000000000007</v>
      </c>
      <c r="O141" s="19" t="s">
        <v>25</v>
      </c>
      <c r="P141" s="16"/>
      <c r="Q141" s="22">
        <v>90</v>
      </c>
      <c r="R141" s="22" t="s">
        <v>111</v>
      </c>
      <c r="S141" s="23" t="s">
        <v>26</v>
      </c>
      <c r="T141" s="88">
        <v>0</v>
      </c>
      <c r="U141" s="51">
        <f t="shared" si="40"/>
        <v>13.409000000000001</v>
      </c>
      <c r="V141" s="22">
        <v>0</v>
      </c>
      <c r="W141" s="22">
        <v>0</v>
      </c>
      <c r="X141" s="22">
        <f t="shared" si="39"/>
        <v>13.409000000000001</v>
      </c>
      <c r="Y141" s="22">
        <v>0</v>
      </c>
      <c r="Z141" s="21">
        <f>1.05*10</f>
        <v>10.5</v>
      </c>
      <c r="AA141" s="20">
        <f t="shared" si="36"/>
        <v>-2.9090000000000007</v>
      </c>
      <c r="AB141" s="51">
        <f t="shared" si="37"/>
        <v>-2.9090000000000007</v>
      </c>
      <c r="AC141" s="22" t="s">
        <v>25</v>
      </c>
    </row>
    <row r="142" spans="1:29" s="1" customFormat="1" ht="33.75" x14ac:dyDescent="0.2">
      <c r="A142" s="18">
        <v>91</v>
      </c>
      <c r="B142" s="12" t="s">
        <v>112</v>
      </c>
      <c r="C142" s="69" t="s">
        <v>34</v>
      </c>
      <c r="D142" s="69">
        <v>0.83699999999999997</v>
      </c>
      <c r="E142" s="69">
        <v>0.30399999999999999</v>
      </c>
      <c r="F142" s="69"/>
      <c r="G142" s="47">
        <v>0.89100000000000001</v>
      </c>
      <c r="H142" s="12">
        <v>0</v>
      </c>
      <c r="I142" s="12">
        <v>0</v>
      </c>
      <c r="J142" s="12">
        <f t="shared" si="38"/>
        <v>0.89100000000000001</v>
      </c>
      <c r="K142" s="12">
        <v>0</v>
      </c>
      <c r="L142" s="14">
        <f>1.05*4</f>
        <v>4.2</v>
      </c>
      <c r="M142" s="13">
        <f t="shared" si="34"/>
        <v>3.3090000000000002</v>
      </c>
      <c r="N142" s="47">
        <f t="shared" si="35"/>
        <v>3.3090000000000002</v>
      </c>
      <c r="O142" s="17" t="s">
        <v>24</v>
      </c>
      <c r="P142" s="16"/>
      <c r="Q142" s="18">
        <v>91</v>
      </c>
      <c r="R142" s="12" t="s">
        <v>112</v>
      </c>
      <c r="S142" s="15" t="s">
        <v>34</v>
      </c>
      <c r="T142" s="86">
        <f>0.006+0.011+0.005+0.014+0.007+0.016-0.0108+0.0054+0.0161-0.0247+0.0043+0.4408+0.0068-0.0167+0.0068</f>
        <v>0.48699999999999999</v>
      </c>
      <c r="U142" s="47">
        <f t="shared" si="40"/>
        <v>1.3780000000000001</v>
      </c>
      <c r="V142" s="12">
        <v>0</v>
      </c>
      <c r="W142" s="12">
        <v>0</v>
      </c>
      <c r="X142" s="12">
        <f t="shared" si="39"/>
        <v>1.3780000000000001</v>
      </c>
      <c r="Y142" s="12">
        <v>0</v>
      </c>
      <c r="Z142" s="14">
        <f>1.05*4</f>
        <v>4.2</v>
      </c>
      <c r="AA142" s="13">
        <f t="shared" si="36"/>
        <v>2.8220000000000001</v>
      </c>
      <c r="AB142" s="47">
        <f t="shared" si="37"/>
        <v>2.8220000000000001</v>
      </c>
      <c r="AC142" s="12" t="s">
        <v>24</v>
      </c>
    </row>
    <row r="143" spans="1:29" s="1" customFormat="1" ht="22.5" x14ac:dyDescent="0.2">
      <c r="A143" s="18">
        <v>92</v>
      </c>
      <c r="B143" s="12" t="s">
        <v>113</v>
      </c>
      <c r="C143" s="69" t="s">
        <v>28</v>
      </c>
      <c r="D143" s="69">
        <v>0.26800000000000002</v>
      </c>
      <c r="E143" s="69">
        <v>0.107</v>
      </c>
      <c r="F143" s="69"/>
      <c r="G143" s="47">
        <v>0.28899999999999998</v>
      </c>
      <c r="H143" s="12">
        <v>0</v>
      </c>
      <c r="I143" s="12">
        <v>0</v>
      </c>
      <c r="J143" s="12">
        <f t="shared" si="38"/>
        <v>0.28899999999999998</v>
      </c>
      <c r="K143" s="12">
        <v>0</v>
      </c>
      <c r="L143" s="14">
        <f>1.05*1.6</f>
        <v>1.6800000000000002</v>
      </c>
      <c r="M143" s="13">
        <f t="shared" si="34"/>
        <v>1.3910000000000002</v>
      </c>
      <c r="N143" s="47">
        <f t="shared" si="35"/>
        <v>1.3910000000000002</v>
      </c>
      <c r="O143" s="17" t="s">
        <v>24</v>
      </c>
      <c r="P143" s="16"/>
      <c r="Q143" s="18">
        <v>92</v>
      </c>
      <c r="R143" s="12" t="s">
        <v>113</v>
      </c>
      <c r="S143" s="15" t="s">
        <v>28</v>
      </c>
      <c r="T143" s="86">
        <f>0.0065+0.0021+0.0008-0.0065</f>
        <v>2.9000000000000007E-3</v>
      </c>
      <c r="U143" s="47">
        <f t="shared" si="40"/>
        <v>0.29189999999999999</v>
      </c>
      <c r="V143" s="12">
        <v>0</v>
      </c>
      <c r="W143" s="12">
        <v>0</v>
      </c>
      <c r="X143" s="12">
        <f t="shared" si="39"/>
        <v>0.29189999999999999</v>
      </c>
      <c r="Y143" s="12">
        <v>0</v>
      </c>
      <c r="Z143" s="14">
        <f>1.05*1.6</f>
        <v>1.6800000000000002</v>
      </c>
      <c r="AA143" s="13">
        <f t="shared" si="36"/>
        <v>1.3881000000000001</v>
      </c>
      <c r="AB143" s="47">
        <f t="shared" si="37"/>
        <v>1.3881000000000001</v>
      </c>
      <c r="AC143" s="12" t="s">
        <v>24</v>
      </c>
    </row>
    <row r="144" spans="1:29" s="1" customFormat="1" ht="22.5" x14ac:dyDescent="0.2">
      <c r="A144" s="18">
        <v>93</v>
      </c>
      <c r="B144" s="12" t="s">
        <v>116</v>
      </c>
      <c r="C144" s="69" t="s">
        <v>34</v>
      </c>
      <c r="D144" s="69">
        <v>1.464</v>
      </c>
      <c r="E144" s="69">
        <v>1.2010000000000001</v>
      </c>
      <c r="F144" s="69"/>
      <c r="G144" s="47">
        <v>1.6140000000000001</v>
      </c>
      <c r="H144" s="12">
        <v>0</v>
      </c>
      <c r="I144" s="12">
        <v>0</v>
      </c>
      <c r="J144" s="12">
        <f t="shared" si="38"/>
        <v>1.6140000000000001</v>
      </c>
      <c r="K144" s="12">
        <v>0</v>
      </c>
      <c r="L144" s="14">
        <f>1.05*4</f>
        <v>4.2</v>
      </c>
      <c r="M144" s="13">
        <f t="shared" si="34"/>
        <v>2.5860000000000003</v>
      </c>
      <c r="N144" s="47">
        <f t="shared" si="35"/>
        <v>2.5860000000000003</v>
      </c>
      <c r="O144" s="17" t="s">
        <v>24</v>
      </c>
      <c r="P144" s="16"/>
      <c r="Q144" s="18">
        <v>93</v>
      </c>
      <c r="R144" s="12" t="s">
        <v>116</v>
      </c>
      <c r="S144" s="15" t="s">
        <v>34</v>
      </c>
      <c r="T144" s="86">
        <f>0.029+0.008+0.012+0.005+0.008+0.015+0.0054+0.285+0.0215+0.003226-0.028+0.3226+0.011+0.0068+0.0108+0.0161+0.2688+0.0269-0.3777+0.0269+0.0161</f>
        <v>0.6924260000000001</v>
      </c>
      <c r="U144" s="47">
        <f t="shared" si="40"/>
        <v>2.3064260000000001</v>
      </c>
      <c r="V144" s="12">
        <v>0</v>
      </c>
      <c r="W144" s="12">
        <v>0</v>
      </c>
      <c r="X144" s="12">
        <f t="shared" si="39"/>
        <v>2.3064260000000001</v>
      </c>
      <c r="Y144" s="12">
        <v>0</v>
      </c>
      <c r="Z144" s="14">
        <f>1.05*4</f>
        <v>4.2</v>
      </c>
      <c r="AA144" s="13">
        <f t="shared" si="36"/>
        <v>1.8935740000000001</v>
      </c>
      <c r="AB144" s="47">
        <f t="shared" si="37"/>
        <v>1.8935740000000001</v>
      </c>
      <c r="AC144" s="12" t="s">
        <v>24</v>
      </c>
    </row>
    <row r="145" spans="1:29" s="1" customFormat="1" ht="22.5" x14ac:dyDescent="0.2">
      <c r="A145" s="18">
        <v>94</v>
      </c>
      <c r="B145" s="12" t="s">
        <v>117</v>
      </c>
      <c r="C145" s="69" t="s">
        <v>41</v>
      </c>
      <c r="D145" s="69">
        <v>1.532</v>
      </c>
      <c r="E145" s="69">
        <v>0.75800000000000001</v>
      </c>
      <c r="F145" s="69"/>
      <c r="G145" s="47">
        <v>1.7090000000000001</v>
      </c>
      <c r="H145" s="12">
        <v>0</v>
      </c>
      <c r="I145" s="12">
        <v>0</v>
      </c>
      <c r="J145" s="12">
        <f t="shared" si="38"/>
        <v>1.7090000000000001</v>
      </c>
      <c r="K145" s="12">
        <v>0</v>
      </c>
      <c r="L145" s="14">
        <f>1.05*4</f>
        <v>4.2</v>
      </c>
      <c r="M145" s="13">
        <f t="shared" si="34"/>
        <v>2.4910000000000001</v>
      </c>
      <c r="N145" s="47">
        <f t="shared" si="35"/>
        <v>2.4910000000000001</v>
      </c>
      <c r="O145" s="17" t="s">
        <v>24</v>
      </c>
      <c r="P145" s="16"/>
      <c r="Q145" s="18">
        <v>94</v>
      </c>
      <c r="R145" s="12" t="s">
        <v>117</v>
      </c>
      <c r="S145" s="15" t="s">
        <v>41</v>
      </c>
      <c r="T145" s="86">
        <f>0.023+0.003+0.028+0.038+0.005+0.016+0.016-0.028+0.0034+0.001344-0.0671+0.0161+0.0038+0.0068-0.0382+0.0068+0.0108</f>
        <v>4.4744000000000006E-2</v>
      </c>
      <c r="U145" s="47">
        <f t="shared" si="40"/>
        <v>1.7537440000000002</v>
      </c>
      <c r="V145" s="12">
        <v>0</v>
      </c>
      <c r="W145" s="12">
        <v>0</v>
      </c>
      <c r="X145" s="12">
        <f t="shared" si="39"/>
        <v>1.7537440000000002</v>
      </c>
      <c r="Y145" s="12">
        <v>0</v>
      </c>
      <c r="Z145" s="14">
        <f>1.05*4</f>
        <v>4.2</v>
      </c>
      <c r="AA145" s="13">
        <f t="shared" si="36"/>
        <v>2.446256</v>
      </c>
      <c r="AB145" s="47">
        <f t="shared" si="37"/>
        <v>2.446256</v>
      </c>
      <c r="AC145" s="12" t="s">
        <v>24</v>
      </c>
    </row>
    <row r="146" spans="1:29" s="1" customFormat="1" ht="22.5" x14ac:dyDescent="0.2">
      <c r="A146" s="18">
        <v>95</v>
      </c>
      <c r="B146" s="12" t="s">
        <v>213</v>
      </c>
      <c r="C146" s="69" t="s">
        <v>53</v>
      </c>
      <c r="D146" s="69">
        <v>0.17199999999999999</v>
      </c>
      <c r="E146" s="69">
        <v>0.17599999999999999</v>
      </c>
      <c r="F146" s="69"/>
      <c r="G146" s="47">
        <v>0.246</v>
      </c>
      <c r="H146" s="12">
        <v>0</v>
      </c>
      <c r="I146" s="12">
        <v>0</v>
      </c>
      <c r="J146" s="12">
        <f t="shared" si="38"/>
        <v>0.246</v>
      </c>
      <c r="K146" s="12">
        <v>0</v>
      </c>
      <c r="L146" s="14">
        <f>1.05*1</f>
        <v>1.05</v>
      </c>
      <c r="M146" s="13">
        <f t="shared" si="34"/>
        <v>0.80400000000000005</v>
      </c>
      <c r="N146" s="47">
        <f t="shared" si="35"/>
        <v>0.80400000000000005</v>
      </c>
      <c r="O146" s="17" t="s">
        <v>24</v>
      </c>
      <c r="P146" s="16"/>
      <c r="Q146" s="18">
        <v>95</v>
      </c>
      <c r="R146" s="12" t="s">
        <v>118</v>
      </c>
      <c r="S146" s="15" t="s">
        <v>53</v>
      </c>
      <c r="T146" s="86">
        <f>0</f>
        <v>0</v>
      </c>
      <c r="U146" s="47">
        <f t="shared" si="40"/>
        <v>0.246</v>
      </c>
      <c r="V146" s="12">
        <v>0</v>
      </c>
      <c r="W146" s="12">
        <v>0</v>
      </c>
      <c r="X146" s="12">
        <f t="shared" si="39"/>
        <v>0.246</v>
      </c>
      <c r="Y146" s="12">
        <v>0</v>
      </c>
      <c r="Z146" s="14">
        <f>1.05*1</f>
        <v>1.05</v>
      </c>
      <c r="AA146" s="13">
        <f t="shared" si="36"/>
        <v>0.80400000000000005</v>
      </c>
      <c r="AB146" s="47">
        <f t="shared" si="37"/>
        <v>0.80400000000000005</v>
      </c>
      <c r="AC146" s="12" t="s">
        <v>24</v>
      </c>
    </row>
    <row r="147" spans="1:29" s="1" customFormat="1" ht="22.5" x14ac:dyDescent="0.2">
      <c r="A147" s="18">
        <v>96</v>
      </c>
      <c r="B147" s="12" t="s">
        <v>120</v>
      </c>
      <c r="C147" s="69" t="s">
        <v>27</v>
      </c>
      <c r="D147" s="69">
        <v>0.23899999999999999</v>
      </c>
      <c r="E147" s="69">
        <v>9.9000000000000005E-2</v>
      </c>
      <c r="F147" s="69"/>
      <c r="G147" s="47">
        <v>0.245</v>
      </c>
      <c r="H147" s="12">
        <v>0</v>
      </c>
      <c r="I147" s="12">
        <v>0</v>
      </c>
      <c r="J147" s="12">
        <f t="shared" si="38"/>
        <v>0.245</v>
      </c>
      <c r="K147" s="12">
        <v>0</v>
      </c>
      <c r="L147" s="14">
        <f>1.05*2.5</f>
        <v>2.625</v>
      </c>
      <c r="M147" s="13">
        <f t="shared" si="34"/>
        <v>2.38</v>
      </c>
      <c r="N147" s="47">
        <f t="shared" si="35"/>
        <v>2.38</v>
      </c>
      <c r="O147" s="17" t="s">
        <v>24</v>
      </c>
      <c r="P147" s="16"/>
      <c r="Q147" s="18">
        <v>96</v>
      </c>
      <c r="R147" s="12" t="s">
        <v>120</v>
      </c>
      <c r="S147" s="15" t="s">
        <v>27</v>
      </c>
      <c r="T147" s="86">
        <f>0.005+0.005+0.0054+0.0108-0.0097-0.0151</f>
        <v>1.4000000000000002E-3</v>
      </c>
      <c r="U147" s="47">
        <f t="shared" si="40"/>
        <v>0.24640000000000001</v>
      </c>
      <c r="V147" s="12">
        <v>0</v>
      </c>
      <c r="W147" s="12">
        <v>0</v>
      </c>
      <c r="X147" s="12">
        <f t="shared" si="39"/>
        <v>0.24640000000000001</v>
      </c>
      <c r="Y147" s="12">
        <v>0</v>
      </c>
      <c r="Z147" s="14">
        <f>1.05*2.5</f>
        <v>2.625</v>
      </c>
      <c r="AA147" s="13">
        <f t="shared" si="36"/>
        <v>2.3786</v>
      </c>
      <c r="AB147" s="47">
        <f t="shared" si="37"/>
        <v>2.3786</v>
      </c>
      <c r="AC147" s="12" t="s">
        <v>24</v>
      </c>
    </row>
    <row r="148" spans="1:29" s="1" customFormat="1" ht="22.5" x14ac:dyDescent="0.2">
      <c r="A148" s="18">
        <v>97</v>
      </c>
      <c r="B148" s="12" t="s">
        <v>121</v>
      </c>
      <c r="C148" s="69" t="s">
        <v>27</v>
      </c>
      <c r="D148" s="69">
        <v>0.55000000000000004</v>
      </c>
      <c r="E148" s="69">
        <v>0.2</v>
      </c>
      <c r="F148" s="69"/>
      <c r="G148" s="47">
        <v>0.58499999999999996</v>
      </c>
      <c r="H148" s="12">
        <v>0</v>
      </c>
      <c r="I148" s="12">
        <v>0</v>
      </c>
      <c r="J148" s="12">
        <f t="shared" si="38"/>
        <v>0.58499999999999996</v>
      </c>
      <c r="K148" s="12">
        <v>0</v>
      </c>
      <c r="L148" s="14">
        <f>1.05*2.5</f>
        <v>2.625</v>
      </c>
      <c r="M148" s="13">
        <f t="shared" si="34"/>
        <v>2.04</v>
      </c>
      <c r="N148" s="47">
        <f t="shared" si="35"/>
        <v>2.04</v>
      </c>
      <c r="O148" s="17" t="s">
        <v>24</v>
      </c>
      <c r="P148" s="16"/>
      <c r="Q148" s="18">
        <v>97</v>
      </c>
      <c r="R148" s="12" t="s">
        <v>121</v>
      </c>
      <c r="S148" s="15" t="s">
        <v>27</v>
      </c>
      <c r="T148" s="86">
        <f>0.004+0.011+0.177+0.01-0.0145+0.5376+0.001+0.0172+0.028+0.0129-0.0274+0.0111+0.4301-0.0244</f>
        <v>1.1736</v>
      </c>
      <c r="U148" s="47">
        <f t="shared" si="40"/>
        <v>1.7585999999999999</v>
      </c>
      <c r="V148" s="12">
        <v>0</v>
      </c>
      <c r="W148" s="12">
        <v>0</v>
      </c>
      <c r="X148" s="12">
        <f t="shared" si="39"/>
        <v>1.7585999999999999</v>
      </c>
      <c r="Y148" s="12">
        <v>0</v>
      </c>
      <c r="Z148" s="14">
        <f>1.05*2.5</f>
        <v>2.625</v>
      </c>
      <c r="AA148" s="13">
        <f t="shared" si="36"/>
        <v>0.86640000000000006</v>
      </c>
      <c r="AB148" s="47">
        <f t="shared" si="37"/>
        <v>0.86640000000000006</v>
      </c>
      <c r="AC148" s="12" t="s">
        <v>24</v>
      </c>
    </row>
    <row r="149" spans="1:29" s="1" customFormat="1" ht="22.5" x14ac:dyDescent="0.2">
      <c r="A149" s="18">
        <v>98</v>
      </c>
      <c r="B149" s="12" t="s">
        <v>122</v>
      </c>
      <c r="C149" s="69" t="s">
        <v>28</v>
      </c>
      <c r="D149" s="69">
        <v>0.69899999999999995</v>
      </c>
      <c r="E149" s="69">
        <v>0.307</v>
      </c>
      <c r="F149" s="69"/>
      <c r="G149" s="47">
        <v>0.76400000000000001</v>
      </c>
      <c r="H149" s="12">
        <v>0</v>
      </c>
      <c r="I149" s="12">
        <v>0</v>
      </c>
      <c r="J149" s="12">
        <f t="shared" si="38"/>
        <v>0.76400000000000001</v>
      </c>
      <c r="K149" s="12">
        <v>0</v>
      </c>
      <c r="L149" s="14">
        <f>1.05*1.6</f>
        <v>1.6800000000000002</v>
      </c>
      <c r="M149" s="13">
        <f t="shared" si="34"/>
        <v>0.91600000000000015</v>
      </c>
      <c r="N149" s="47">
        <f t="shared" si="35"/>
        <v>0.91600000000000015</v>
      </c>
      <c r="O149" s="17" t="s">
        <v>24</v>
      </c>
      <c r="P149" s="16"/>
      <c r="Q149" s="18">
        <v>98</v>
      </c>
      <c r="R149" s="12" t="s">
        <v>122</v>
      </c>
      <c r="S149" s="15" t="s">
        <v>28</v>
      </c>
      <c r="T149" s="86">
        <v>0</v>
      </c>
      <c r="U149" s="47">
        <f t="shared" si="40"/>
        <v>0.76400000000000001</v>
      </c>
      <c r="V149" s="12">
        <v>0</v>
      </c>
      <c r="W149" s="12">
        <v>0</v>
      </c>
      <c r="X149" s="12">
        <f t="shared" si="39"/>
        <v>0.76400000000000001</v>
      </c>
      <c r="Y149" s="12">
        <v>0</v>
      </c>
      <c r="Z149" s="14">
        <f>1.05*1.6</f>
        <v>1.6800000000000002</v>
      </c>
      <c r="AA149" s="13">
        <f t="shared" si="36"/>
        <v>0.91600000000000015</v>
      </c>
      <c r="AB149" s="47">
        <f t="shared" si="37"/>
        <v>0.91600000000000015</v>
      </c>
      <c r="AC149" s="12" t="s">
        <v>24</v>
      </c>
    </row>
    <row r="150" spans="1:29" s="1" customFormat="1" ht="22.5" x14ac:dyDescent="0.2">
      <c r="A150" s="18">
        <v>99</v>
      </c>
      <c r="B150" s="12" t="s">
        <v>123</v>
      </c>
      <c r="C150" s="69" t="s">
        <v>29</v>
      </c>
      <c r="D150" s="69">
        <v>3.544</v>
      </c>
      <c r="E150" s="69">
        <v>2.5070000000000001</v>
      </c>
      <c r="F150" s="69"/>
      <c r="G150" s="47">
        <v>4.351</v>
      </c>
      <c r="H150" s="12">
        <v>0</v>
      </c>
      <c r="I150" s="12">
        <v>0</v>
      </c>
      <c r="J150" s="12">
        <f t="shared" si="38"/>
        <v>4.351</v>
      </c>
      <c r="K150" s="12">
        <v>0</v>
      </c>
      <c r="L150" s="14">
        <f>1.05*6.3</f>
        <v>6.6150000000000002</v>
      </c>
      <c r="M150" s="14">
        <f t="shared" si="34"/>
        <v>2.2640000000000002</v>
      </c>
      <c r="N150" s="47">
        <f t="shared" si="35"/>
        <v>2.2640000000000002</v>
      </c>
      <c r="O150" s="17" t="s">
        <v>24</v>
      </c>
      <c r="P150" s="16"/>
      <c r="Q150" s="18">
        <v>99</v>
      </c>
      <c r="R150" s="12" t="s">
        <v>123</v>
      </c>
      <c r="S150" s="15" t="s">
        <v>29</v>
      </c>
      <c r="T150" s="86">
        <f>0.01+0.002+0.016+0.0086-0.0081+0.0108-0.0054-0.0108</f>
        <v>2.3099999999999999E-2</v>
      </c>
      <c r="U150" s="47">
        <f t="shared" si="40"/>
        <v>4.3741000000000003</v>
      </c>
      <c r="V150" s="12">
        <v>0</v>
      </c>
      <c r="W150" s="12">
        <v>0</v>
      </c>
      <c r="X150" s="12">
        <f t="shared" si="39"/>
        <v>4.3741000000000003</v>
      </c>
      <c r="Y150" s="12">
        <v>0</v>
      </c>
      <c r="Z150" s="14">
        <f>1.05*6.3</f>
        <v>6.6150000000000002</v>
      </c>
      <c r="AA150" s="13">
        <f t="shared" si="36"/>
        <v>2.2408999999999999</v>
      </c>
      <c r="AB150" s="47">
        <f t="shared" si="37"/>
        <v>2.2408999999999999</v>
      </c>
      <c r="AC150" s="12" t="s">
        <v>24</v>
      </c>
    </row>
    <row r="151" spans="1:29" s="1" customFormat="1" ht="22.5" x14ac:dyDescent="0.2">
      <c r="A151" s="18">
        <v>100</v>
      </c>
      <c r="B151" s="12" t="s">
        <v>124</v>
      </c>
      <c r="C151" s="69" t="s">
        <v>28</v>
      </c>
      <c r="D151" s="69">
        <v>0.753</v>
      </c>
      <c r="E151" s="69">
        <v>0.376</v>
      </c>
      <c r="F151" s="69"/>
      <c r="G151" s="47">
        <v>0.84099999999999997</v>
      </c>
      <c r="H151" s="12">
        <v>0</v>
      </c>
      <c r="I151" s="12">
        <v>0</v>
      </c>
      <c r="J151" s="12">
        <f t="shared" si="38"/>
        <v>0.84099999999999997</v>
      </c>
      <c r="K151" s="12">
        <v>0</v>
      </c>
      <c r="L151" s="14">
        <f>1.05*1.6</f>
        <v>1.6800000000000002</v>
      </c>
      <c r="M151" s="13">
        <f t="shared" si="34"/>
        <v>0.83900000000000019</v>
      </c>
      <c r="N151" s="47">
        <f t="shared" si="35"/>
        <v>0.83900000000000019</v>
      </c>
      <c r="O151" s="17" t="s">
        <v>24</v>
      </c>
      <c r="P151" s="16"/>
      <c r="Q151" s="18">
        <v>100</v>
      </c>
      <c r="R151" s="12" t="s">
        <v>124</v>
      </c>
      <c r="S151" s="15" t="s">
        <v>28</v>
      </c>
      <c r="T151" s="86">
        <f>0.021+0.003+0.003+0.038+0.022+0.016+0.005-0.0306+0.0161+0.0108+0.0237+0.0161+0.0108-0.1398+0.0086+0.0054+0.0054+0.0016+0.0161+0.0132+0.0226-0.0586</f>
        <v>2.9399999999999996E-2</v>
      </c>
      <c r="U151" s="47">
        <f t="shared" si="40"/>
        <v>0.87039999999999995</v>
      </c>
      <c r="V151" s="12">
        <v>0</v>
      </c>
      <c r="W151" s="12">
        <v>0</v>
      </c>
      <c r="X151" s="12">
        <f t="shared" si="39"/>
        <v>0.87039999999999995</v>
      </c>
      <c r="Y151" s="12">
        <v>0</v>
      </c>
      <c r="Z151" s="14">
        <f>1.05*1.6</f>
        <v>1.6800000000000002</v>
      </c>
      <c r="AA151" s="13">
        <f t="shared" si="36"/>
        <v>0.80960000000000021</v>
      </c>
      <c r="AB151" s="47">
        <f t="shared" si="37"/>
        <v>0.80960000000000021</v>
      </c>
      <c r="AC151" s="12" t="s">
        <v>24</v>
      </c>
    </row>
    <row r="152" spans="1:29" s="1" customFormat="1" ht="22.5" x14ac:dyDescent="0.2">
      <c r="A152" s="18">
        <v>101</v>
      </c>
      <c r="B152" s="12" t="s">
        <v>127</v>
      </c>
      <c r="C152" s="69" t="s">
        <v>28</v>
      </c>
      <c r="D152" s="69">
        <v>0.2</v>
      </c>
      <c r="E152" s="69">
        <v>0.1</v>
      </c>
      <c r="F152" s="69"/>
      <c r="G152" s="47">
        <v>0.224</v>
      </c>
      <c r="H152" s="12">
        <v>0</v>
      </c>
      <c r="I152" s="12">
        <v>0</v>
      </c>
      <c r="J152" s="12">
        <f t="shared" si="38"/>
        <v>0.224</v>
      </c>
      <c r="K152" s="12">
        <v>0</v>
      </c>
      <c r="L152" s="14">
        <f>1.05*1.6</f>
        <v>1.6800000000000002</v>
      </c>
      <c r="M152" s="13">
        <f t="shared" si="34"/>
        <v>1.4560000000000002</v>
      </c>
      <c r="N152" s="47">
        <f t="shared" si="35"/>
        <v>1.4560000000000002</v>
      </c>
      <c r="O152" s="17" t="s">
        <v>24</v>
      </c>
      <c r="P152" s="16"/>
      <c r="Q152" s="18">
        <v>101</v>
      </c>
      <c r="R152" s="12" t="s">
        <v>127</v>
      </c>
      <c r="S152" s="15" t="s">
        <v>28</v>
      </c>
      <c r="T152" s="86">
        <f>0.005+0.005-0.0048+0.007+0.0008+0.0065-0.0142</f>
        <v>5.2999999999999992E-3</v>
      </c>
      <c r="U152" s="47">
        <f t="shared" si="40"/>
        <v>0.2293</v>
      </c>
      <c r="V152" s="12">
        <v>0</v>
      </c>
      <c r="W152" s="12">
        <v>0</v>
      </c>
      <c r="X152" s="12">
        <f t="shared" si="39"/>
        <v>0.2293</v>
      </c>
      <c r="Y152" s="12">
        <v>0</v>
      </c>
      <c r="Z152" s="14">
        <f>1.05*1.6</f>
        <v>1.6800000000000002</v>
      </c>
      <c r="AA152" s="13">
        <f t="shared" si="36"/>
        <v>1.4507000000000001</v>
      </c>
      <c r="AB152" s="47">
        <f t="shared" si="37"/>
        <v>1.4507000000000001</v>
      </c>
      <c r="AC152" s="12" t="s">
        <v>24</v>
      </c>
    </row>
    <row r="153" spans="1:29" s="1" customFormat="1" ht="22.5" x14ac:dyDescent="0.2">
      <c r="A153" s="18">
        <v>102</v>
      </c>
      <c r="B153" s="12" t="s">
        <v>128</v>
      </c>
      <c r="C153" s="69" t="s">
        <v>34</v>
      </c>
      <c r="D153" s="69">
        <v>0.58399999999999996</v>
      </c>
      <c r="E153" s="69">
        <v>0.1</v>
      </c>
      <c r="F153" s="69"/>
      <c r="G153" s="47">
        <v>0.59299999999999997</v>
      </c>
      <c r="H153" s="12">
        <v>0</v>
      </c>
      <c r="I153" s="12">
        <v>0</v>
      </c>
      <c r="J153" s="12">
        <f t="shared" si="38"/>
        <v>0.59299999999999997</v>
      </c>
      <c r="K153" s="12">
        <v>0</v>
      </c>
      <c r="L153" s="14">
        <f>1.05*4</f>
        <v>4.2</v>
      </c>
      <c r="M153" s="13">
        <f t="shared" si="34"/>
        <v>3.6070000000000002</v>
      </c>
      <c r="N153" s="47">
        <f t="shared" si="35"/>
        <v>3.6070000000000002</v>
      </c>
      <c r="O153" s="17" t="s">
        <v>24</v>
      </c>
      <c r="P153" s="16"/>
      <c r="Q153" s="18">
        <v>102</v>
      </c>
      <c r="R153" s="12" t="s">
        <v>128</v>
      </c>
      <c r="S153" s="15" t="s">
        <v>34</v>
      </c>
      <c r="T153" s="86">
        <f>0.02-0.0034+0.0538+0.004+0.0022-0.0538+0.0011+0.0215+0.2688-0.0097</f>
        <v>0.30449999999999999</v>
      </c>
      <c r="U153" s="47">
        <f t="shared" si="40"/>
        <v>0.89749999999999996</v>
      </c>
      <c r="V153" s="12">
        <v>0</v>
      </c>
      <c r="W153" s="12">
        <v>0</v>
      </c>
      <c r="X153" s="12">
        <f t="shared" si="39"/>
        <v>0.89749999999999996</v>
      </c>
      <c r="Y153" s="12">
        <v>0</v>
      </c>
      <c r="Z153" s="14">
        <f>1.05*4</f>
        <v>4.2</v>
      </c>
      <c r="AA153" s="13">
        <f t="shared" si="36"/>
        <v>3.3025000000000002</v>
      </c>
      <c r="AB153" s="47">
        <f t="shared" si="37"/>
        <v>3.3025000000000002</v>
      </c>
      <c r="AC153" s="12" t="s">
        <v>24</v>
      </c>
    </row>
    <row r="154" spans="1:29" s="1" customFormat="1" ht="22.5" x14ac:dyDescent="0.2">
      <c r="A154" s="18">
        <v>103</v>
      </c>
      <c r="B154" s="12" t="s">
        <v>129</v>
      </c>
      <c r="C154" s="69" t="s">
        <v>36</v>
      </c>
      <c r="D154" s="69">
        <v>0.46100000000000002</v>
      </c>
      <c r="E154" s="69">
        <v>0.22700000000000001</v>
      </c>
      <c r="F154" s="69"/>
      <c r="G154" s="47">
        <v>0.51400000000000001</v>
      </c>
      <c r="H154" s="12">
        <v>0</v>
      </c>
      <c r="I154" s="12">
        <v>0</v>
      </c>
      <c r="J154" s="12">
        <f t="shared" si="38"/>
        <v>0.51400000000000001</v>
      </c>
      <c r="K154" s="12">
        <v>0</v>
      </c>
      <c r="L154" s="14">
        <f>1.05*2.5</f>
        <v>2.625</v>
      </c>
      <c r="M154" s="13">
        <f t="shared" si="34"/>
        <v>2.1109999999999998</v>
      </c>
      <c r="N154" s="47">
        <f t="shared" si="35"/>
        <v>2.1109999999999998</v>
      </c>
      <c r="O154" s="17" t="s">
        <v>24</v>
      </c>
      <c r="P154" s="16"/>
      <c r="Q154" s="18">
        <v>103</v>
      </c>
      <c r="R154" s="12" t="s">
        <v>129</v>
      </c>
      <c r="S154" s="15" t="s">
        <v>36</v>
      </c>
      <c r="T154" s="86">
        <f>0.005+0.002+0.011+0.0151-0.0183+0.0527+0.0161</f>
        <v>8.3599999999999994E-2</v>
      </c>
      <c r="U154" s="47">
        <f t="shared" si="40"/>
        <v>0.59760000000000002</v>
      </c>
      <c r="V154" s="12">
        <v>0</v>
      </c>
      <c r="W154" s="12">
        <v>0</v>
      </c>
      <c r="X154" s="12">
        <f t="shared" si="39"/>
        <v>0.59760000000000002</v>
      </c>
      <c r="Y154" s="12">
        <v>0</v>
      </c>
      <c r="Z154" s="14">
        <f>1.05*2.5</f>
        <v>2.625</v>
      </c>
      <c r="AA154" s="47">
        <f t="shared" si="36"/>
        <v>2.0274000000000001</v>
      </c>
      <c r="AB154" s="47">
        <f t="shared" si="37"/>
        <v>2.0274000000000001</v>
      </c>
      <c r="AC154" s="12" t="s">
        <v>24</v>
      </c>
    </row>
    <row r="155" spans="1:29" s="1" customFormat="1" ht="22.5" x14ac:dyDescent="0.2">
      <c r="A155" s="18">
        <v>104</v>
      </c>
      <c r="B155" s="12" t="s">
        <v>130</v>
      </c>
      <c r="C155" s="69" t="s">
        <v>34</v>
      </c>
      <c r="D155" s="69">
        <v>2.5569999999999999</v>
      </c>
      <c r="E155" s="69">
        <v>1.53</v>
      </c>
      <c r="F155" s="69"/>
      <c r="G155" s="47">
        <v>2.98</v>
      </c>
      <c r="H155" s="12">
        <v>0</v>
      </c>
      <c r="I155" s="12">
        <v>0</v>
      </c>
      <c r="J155" s="12">
        <f t="shared" si="38"/>
        <v>2.98</v>
      </c>
      <c r="K155" s="12">
        <v>0</v>
      </c>
      <c r="L155" s="14">
        <f>1.05*4</f>
        <v>4.2</v>
      </c>
      <c r="M155" s="13">
        <f t="shared" si="34"/>
        <v>1.2200000000000002</v>
      </c>
      <c r="N155" s="47">
        <f t="shared" si="35"/>
        <v>1.2200000000000002</v>
      </c>
      <c r="O155" s="17" t="s">
        <v>24</v>
      </c>
      <c r="P155" s="16"/>
      <c r="Q155" s="18">
        <v>104</v>
      </c>
      <c r="R155" s="12" t="s">
        <v>130</v>
      </c>
      <c r="S155" s="15" t="s">
        <v>34</v>
      </c>
      <c r="T155" s="86">
        <f>0.43+0.005+0.0161-0.4355+0.0054+0.0054+0.0022+0.005-0.0183+0.0075+0.0097-0.0091</f>
        <v>2.3400000000000001E-2</v>
      </c>
      <c r="U155" s="47">
        <f t="shared" si="40"/>
        <v>3.0034000000000001</v>
      </c>
      <c r="V155" s="12">
        <v>0</v>
      </c>
      <c r="W155" s="12">
        <v>0</v>
      </c>
      <c r="X155" s="12">
        <f t="shared" si="39"/>
        <v>3.0034000000000001</v>
      </c>
      <c r="Y155" s="12">
        <v>0</v>
      </c>
      <c r="Z155" s="14">
        <f>1.05*4</f>
        <v>4.2</v>
      </c>
      <c r="AA155" s="13">
        <f t="shared" si="36"/>
        <v>1.1966000000000001</v>
      </c>
      <c r="AB155" s="47">
        <f t="shared" si="37"/>
        <v>1.1966000000000001</v>
      </c>
      <c r="AC155" s="12" t="s">
        <v>24</v>
      </c>
    </row>
    <row r="156" spans="1:29" s="1" customFormat="1" ht="22.5" x14ac:dyDescent="0.2">
      <c r="A156" s="18">
        <v>105</v>
      </c>
      <c r="B156" s="12" t="s">
        <v>131</v>
      </c>
      <c r="C156" s="69" t="s">
        <v>34</v>
      </c>
      <c r="D156" s="69">
        <v>1.569</v>
      </c>
      <c r="E156" s="69">
        <v>0.626</v>
      </c>
      <c r="F156" s="69"/>
      <c r="G156" s="47">
        <v>1.6890000000000001</v>
      </c>
      <c r="H156" s="12">
        <v>0</v>
      </c>
      <c r="I156" s="12">
        <v>0</v>
      </c>
      <c r="J156" s="12">
        <f t="shared" si="38"/>
        <v>1.6890000000000001</v>
      </c>
      <c r="K156" s="12">
        <v>0</v>
      </c>
      <c r="L156" s="14">
        <f>1.05*4</f>
        <v>4.2</v>
      </c>
      <c r="M156" s="13">
        <f t="shared" si="34"/>
        <v>2.5110000000000001</v>
      </c>
      <c r="N156" s="47">
        <f t="shared" si="35"/>
        <v>2.5110000000000001</v>
      </c>
      <c r="O156" s="17" t="s">
        <v>24</v>
      </c>
      <c r="P156" s="16"/>
      <c r="Q156" s="18">
        <v>105</v>
      </c>
      <c r="R156" s="12" t="s">
        <v>131</v>
      </c>
      <c r="S156" s="15" t="s">
        <v>34</v>
      </c>
      <c r="T156" s="86">
        <f>0.01+0.047-0.0048+0.0161+0.0078+0.003+0.0396+0.0068+0.0624+0.0054+0.0068+0.0068-0.0285+0.0068+0.0016</f>
        <v>0.18679999999999999</v>
      </c>
      <c r="U156" s="47">
        <f t="shared" si="40"/>
        <v>1.8758000000000001</v>
      </c>
      <c r="V156" s="12">
        <v>0</v>
      </c>
      <c r="W156" s="12">
        <v>0</v>
      </c>
      <c r="X156" s="12">
        <f t="shared" si="39"/>
        <v>1.8758000000000001</v>
      </c>
      <c r="Y156" s="12">
        <v>0</v>
      </c>
      <c r="Z156" s="14">
        <f>1.05*4</f>
        <v>4.2</v>
      </c>
      <c r="AA156" s="13">
        <f t="shared" si="36"/>
        <v>2.3242000000000003</v>
      </c>
      <c r="AB156" s="47">
        <f t="shared" si="37"/>
        <v>2.3242000000000003</v>
      </c>
      <c r="AC156" s="12" t="s">
        <v>24</v>
      </c>
    </row>
    <row r="157" spans="1:29" s="1" customFormat="1" ht="22.5" x14ac:dyDescent="0.2">
      <c r="A157" s="18">
        <v>106</v>
      </c>
      <c r="B157" s="12" t="s">
        <v>132</v>
      </c>
      <c r="C157" s="69" t="s">
        <v>33</v>
      </c>
      <c r="D157" s="69">
        <v>1.222</v>
      </c>
      <c r="E157" s="69">
        <v>0.46300000000000002</v>
      </c>
      <c r="F157" s="69"/>
      <c r="G157" s="47">
        <v>1.3080000000000001</v>
      </c>
      <c r="H157" s="12">
        <v>0</v>
      </c>
      <c r="I157" s="12">
        <v>0</v>
      </c>
      <c r="J157" s="12">
        <f t="shared" si="38"/>
        <v>1.3080000000000001</v>
      </c>
      <c r="K157" s="12">
        <v>0</v>
      </c>
      <c r="L157" s="14">
        <f>1.05*1.6</f>
        <v>1.6800000000000002</v>
      </c>
      <c r="M157" s="13">
        <f t="shared" si="34"/>
        <v>0.37200000000000011</v>
      </c>
      <c r="N157" s="47">
        <f t="shared" si="35"/>
        <v>0.37200000000000011</v>
      </c>
      <c r="O157" s="17" t="s">
        <v>24</v>
      </c>
      <c r="P157" s="16"/>
      <c r="Q157" s="18">
        <v>106</v>
      </c>
      <c r="R157" s="12" t="s">
        <v>132</v>
      </c>
      <c r="S157" s="15" t="s">
        <v>33</v>
      </c>
      <c r="T157" s="86">
        <f>0.052+0.019+0.022+0.017+0.149+0.051+0.043+0.019+0.019+0.0108-0.122+0.028+0.039+0.0054-0.065+0.0538+0.0161+0.0068+0.006-0.0863+0.0215</f>
        <v>0.30510000000000004</v>
      </c>
      <c r="U157" s="47">
        <f t="shared" si="40"/>
        <v>1.6131000000000002</v>
      </c>
      <c r="V157" s="12">
        <v>0</v>
      </c>
      <c r="W157" s="12">
        <v>0</v>
      </c>
      <c r="X157" s="12">
        <f t="shared" si="39"/>
        <v>1.6131000000000002</v>
      </c>
      <c r="Y157" s="12">
        <v>0</v>
      </c>
      <c r="Z157" s="14">
        <f>1.05*1.6</f>
        <v>1.6800000000000002</v>
      </c>
      <c r="AA157" s="13">
        <f t="shared" si="36"/>
        <v>6.6899999999999959E-2</v>
      </c>
      <c r="AB157" s="47">
        <f t="shared" si="37"/>
        <v>6.6899999999999959E-2</v>
      </c>
      <c r="AC157" s="12" t="s">
        <v>24</v>
      </c>
    </row>
    <row r="158" spans="1:29" s="1" customFormat="1" ht="22.5" x14ac:dyDescent="0.2">
      <c r="A158" s="18">
        <v>107</v>
      </c>
      <c r="B158" s="12" t="s">
        <v>133</v>
      </c>
      <c r="C158" s="69" t="s">
        <v>27</v>
      </c>
      <c r="D158" s="69">
        <v>0.70399999999999996</v>
      </c>
      <c r="E158" s="69">
        <v>0.246</v>
      </c>
      <c r="F158" s="69"/>
      <c r="G158" s="47">
        <v>0.746</v>
      </c>
      <c r="H158" s="12">
        <v>0</v>
      </c>
      <c r="I158" s="12">
        <v>0</v>
      </c>
      <c r="J158" s="12">
        <f t="shared" si="38"/>
        <v>0.746</v>
      </c>
      <c r="K158" s="12">
        <v>0</v>
      </c>
      <c r="L158" s="14">
        <f>1.05*2.5</f>
        <v>2.625</v>
      </c>
      <c r="M158" s="13">
        <f t="shared" si="34"/>
        <v>1.879</v>
      </c>
      <c r="N158" s="47">
        <f t="shared" si="35"/>
        <v>1.879</v>
      </c>
      <c r="O158" s="17" t="s">
        <v>24</v>
      </c>
      <c r="P158" s="16"/>
      <c r="Q158" s="18">
        <v>107</v>
      </c>
      <c r="R158" s="12" t="s">
        <v>133</v>
      </c>
      <c r="S158" s="15" t="s">
        <v>27</v>
      </c>
      <c r="T158" s="86">
        <v>0</v>
      </c>
      <c r="U158" s="47">
        <f t="shared" si="40"/>
        <v>0.746</v>
      </c>
      <c r="V158" s="12">
        <v>0</v>
      </c>
      <c r="W158" s="12">
        <v>0</v>
      </c>
      <c r="X158" s="12">
        <f t="shared" si="39"/>
        <v>0.746</v>
      </c>
      <c r="Y158" s="12">
        <v>0</v>
      </c>
      <c r="Z158" s="14">
        <f>1.05*2.5</f>
        <v>2.625</v>
      </c>
      <c r="AA158" s="13">
        <f t="shared" si="36"/>
        <v>1.879</v>
      </c>
      <c r="AB158" s="47">
        <f t="shared" si="37"/>
        <v>1.879</v>
      </c>
      <c r="AC158" s="12" t="s">
        <v>24</v>
      </c>
    </row>
    <row r="159" spans="1:29" s="1" customFormat="1" ht="22.5" x14ac:dyDescent="0.2">
      <c r="A159" s="18">
        <v>108</v>
      </c>
      <c r="B159" s="12" t="s">
        <v>134</v>
      </c>
      <c r="C159" s="69" t="s">
        <v>41</v>
      </c>
      <c r="D159" s="69">
        <v>1.256</v>
      </c>
      <c r="E159" s="69">
        <v>0.74299999999999999</v>
      </c>
      <c r="F159" s="69"/>
      <c r="G159" s="47">
        <v>1.4590000000000001</v>
      </c>
      <c r="H159" s="12">
        <v>0</v>
      </c>
      <c r="I159" s="12">
        <v>0</v>
      </c>
      <c r="J159" s="12">
        <f t="shared" si="38"/>
        <v>1.4590000000000001</v>
      </c>
      <c r="K159" s="12">
        <v>0</v>
      </c>
      <c r="L159" s="14">
        <f>1.05*4</f>
        <v>4.2</v>
      </c>
      <c r="M159" s="13">
        <f t="shared" si="34"/>
        <v>2.7410000000000001</v>
      </c>
      <c r="N159" s="47">
        <f t="shared" si="35"/>
        <v>2.7410000000000001</v>
      </c>
      <c r="O159" s="17" t="s">
        <v>24</v>
      </c>
      <c r="P159" s="16"/>
      <c r="Q159" s="18">
        <v>108</v>
      </c>
      <c r="R159" s="12" t="s">
        <v>134</v>
      </c>
      <c r="S159" s="15" t="s">
        <v>41</v>
      </c>
      <c r="T159" s="86">
        <f>0.02+0.005-0.0151+0.0054+0.016+0.0161+0.010752+0.0108-0.0228+0.0108+0.1613-0.1849</f>
        <v>3.3351999999999993E-2</v>
      </c>
      <c r="U159" s="47">
        <f t="shared" si="40"/>
        <v>1.4923520000000001</v>
      </c>
      <c r="V159" s="12">
        <v>0</v>
      </c>
      <c r="W159" s="12">
        <v>0</v>
      </c>
      <c r="X159" s="12">
        <f t="shared" si="39"/>
        <v>1.4923520000000001</v>
      </c>
      <c r="Y159" s="12">
        <v>0</v>
      </c>
      <c r="Z159" s="14">
        <f>1.05*4</f>
        <v>4.2</v>
      </c>
      <c r="AA159" s="13">
        <f t="shared" si="36"/>
        <v>2.7076479999999998</v>
      </c>
      <c r="AB159" s="47">
        <f t="shared" si="37"/>
        <v>2.7076479999999998</v>
      </c>
      <c r="AC159" s="12" t="s">
        <v>24</v>
      </c>
    </row>
    <row r="160" spans="1:29" s="1" customFormat="1" ht="22.5" x14ac:dyDescent="0.2">
      <c r="A160" s="18">
        <v>109</v>
      </c>
      <c r="B160" s="12" t="s">
        <v>224</v>
      </c>
      <c r="C160" s="69" t="s">
        <v>34</v>
      </c>
      <c r="D160" s="69">
        <v>0.70099999999999996</v>
      </c>
      <c r="E160" s="69">
        <v>0.31900000000000001</v>
      </c>
      <c r="F160" s="69"/>
      <c r="G160" s="47">
        <v>0.77</v>
      </c>
      <c r="H160" s="12">
        <v>0</v>
      </c>
      <c r="I160" s="12">
        <v>0</v>
      </c>
      <c r="J160" s="12">
        <f t="shared" si="38"/>
        <v>0.77</v>
      </c>
      <c r="K160" s="12">
        <v>0</v>
      </c>
      <c r="L160" s="14">
        <f>1.05*4</f>
        <v>4.2</v>
      </c>
      <c r="M160" s="13">
        <f t="shared" si="34"/>
        <v>3.43</v>
      </c>
      <c r="N160" s="47">
        <f t="shared" si="35"/>
        <v>3.43</v>
      </c>
      <c r="O160" s="17" t="s">
        <v>24</v>
      </c>
      <c r="P160" s="16"/>
      <c r="Q160" s="18">
        <v>109</v>
      </c>
      <c r="R160" s="12" t="s">
        <v>135</v>
      </c>
      <c r="S160" s="15" t="s">
        <v>34</v>
      </c>
      <c r="T160" s="86">
        <f>0.01+0.01+0.009+0.0065+0.0054-0.0258</f>
        <v>1.5099999999999999E-2</v>
      </c>
      <c r="U160" s="47">
        <f t="shared" si="40"/>
        <v>0.78510000000000002</v>
      </c>
      <c r="V160" s="12">
        <v>0</v>
      </c>
      <c r="W160" s="12">
        <v>0</v>
      </c>
      <c r="X160" s="12">
        <f t="shared" si="39"/>
        <v>0.78510000000000002</v>
      </c>
      <c r="Y160" s="12">
        <v>0</v>
      </c>
      <c r="Z160" s="14">
        <f>1.05*4</f>
        <v>4.2</v>
      </c>
      <c r="AA160" s="13">
        <f t="shared" si="36"/>
        <v>3.4149000000000003</v>
      </c>
      <c r="AB160" s="47">
        <f t="shared" si="37"/>
        <v>3.4149000000000003</v>
      </c>
      <c r="AC160" s="12" t="s">
        <v>24</v>
      </c>
    </row>
    <row r="161" spans="1:29" s="1" customFormat="1" ht="22.5" x14ac:dyDescent="0.2">
      <c r="A161" s="18">
        <v>110</v>
      </c>
      <c r="B161" s="12" t="s">
        <v>136</v>
      </c>
      <c r="C161" s="69" t="s">
        <v>29</v>
      </c>
      <c r="D161" s="69">
        <v>2.6669999999999998</v>
      </c>
      <c r="E161" s="69">
        <v>0.66800000000000004</v>
      </c>
      <c r="F161" s="69"/>
      <c r="G161" s="47">
        <v>2.7490000000000001</v>
      </c>
      <c r="H161" s="12">
        <v>0</v>
      </c>
      <c r="I161" s="12">
        <v>0</v>
      </c>
      <c r="J161" s="12">
        <f t="shared" si="38"/>
        <v>2.7490000000000001</v>
      </c>
      <c r="K161" s="12">
        <v>0</v>
      </c>
      <c r="L161" s="14">
        <f>1.05*6.3</f>
        <v>6.6150000000000002</v>
      </c>
      <c r="M161" s="13">
        <f t="shared" si="34"/>
        <v>3.8660000000000001</v>
      </c>
      <c r="N161" s="47">
        <f t="shared" si="35"/>
        <v>3.8660000000000001</v>
      </c>
      <c r="O161" s="17" t="s">
        <v>24</v>
      </c>
      <c r="P161" s="16"/>
      <c r="Q161" s="18">
        <v>110</v>
      </c>
      <c r="R161" s="12" t="s">
        <v>136</v>
      </c>
      <c r="S161" s="15" t="s">
        <v>29</v>
      </c>
      <c r="T161" s="86">
        <f>0.215+0.016+0.013+0.029-0.0161+0.554+0.007+0.0323+0.009677-0.029+0.0054+0.0151+0.0005+0.0161-0.5892</f>
        <v>0.27877700000000005</v>
      </c>
      <c r="U161" s="47">
        <f t="shared" si="40"/>
        <v>3.0277770000000004</v>
      </c>
      <c r="V161" s="12">
        <v>0</v>
      </c>
      <c r="W161" s="12">
        <v>0</v>
      </c>
      <c r="X161" s="12">
        <f t="shared" si="39"/>
        <v>3.0277770000000004</v>
      </c>
      <c r="Y161" s="12">
        <v>0</v>
      </c>
      <c r="Z161" s="14">
        <f>1.05*6.3</f>
        <v>6.6150000000000002</v>
      </c>
      <c r="AA161" s="13">
        <f t="shared" si="36"/>
        <v>3.5872229999999998</v>
      </c>
      <c r="AB161" s="47">
        <f t="shared" si="37"/>
        <v>3.5872229999999998</v>
      </c>
      <c r="AC161" s="12" t="s">
        <v>24</v>
      </c>
    </row>
    <row r="162" spans="1:29" s="74" customFormat="1" ht="22.5" x14ac:dyDescent="0.2">
      <c r="A162" s="18">
        <v>21</v>
      </c>
      <c r="B162" s="18" t="s">
        <v>143</v>
      </c>
      <c r="C162" s="69" t="s">
        <v>34</v>
      </c>
      <c r="D162" s="69">
        <v>2.516</v>
      </c>
      <c r="E162" s="69">
        <v>0.77700000000000002</v>
      </c>
      <c r="F162" s="69"/>
      <c r="G162" s="79">
        <v>2.6339999999999999</v>
      </c>
      <c r="H162" s="18">
        <v>0</v>
      </c>
      <c r="I162" s="18">
        <v>0</v>
      </c>
      <c r="J162" s="18">
        <f t="shared" si="38"/>
        <v>2.6339999999999999</v>
      </c>
      <c r="K162" s="18">
        <v>0</v>
      </c>
      <c r="L162" s="70">
        <f>1.05*4</f>
        <v>4.2</v>
      </c>
      <c r="M162" s="71">
        <f t="shared" si="34"/>
        <v>1.5660000000000003</v>
      </c>
      <c r="N162" s="79">
        <f t="shared" si="35"/>
        <v>1.5660000000000003</v>
      </c>
      <c r="O162" s="18" t="s">
        <v>24</v>
      </c>
      <c r="P162" s="109"/>
      <c r="Q162" s="18">
        <v>21</v>
      </c>
      <c r="R162" s="18" t="s">
        <v>143</v>
      </c>
      <c r="S162" s="69" t="s">
        <v>34</v>
      </c>
      <c r="T162" s="108">
        <f>0.037+0.005+0.011+0.005+0.007+0.011+0.0043-0.0443+0.0194+0.0215+0.0043+0.0161+0.419+0.0065+0.0323+0.0269-0.0253+0.0323+0.014+0.0134+0.0269+0.0112-0.0538+0.0112</f>
        <v>0.6119</v>
      </c>
      <c r="U162" s="79">
        <f t="shared" si="40"/>
        <v>3.2458999999999998</v>
      </c>
      <c r="V162" s="18">
        <v>0</v>
      </c>
      <c r="W162" s="18">
        <v>0</v>
      </c>
      <c r="X162" s="18">
        <f t="shared" si="39"/>
        <v>3.2458999999999998</v>
      </c>
      <c r="Y162" s="18">
        <v>0</v>
      </c>
      <c r="Z162" s="70">
        <f>1.05*4</f>
        <v>4.2</v>
      </c>
      <c r="AA162" s="71">
        <f t="shared" si="36"/>
        <v>0.95410000000000039</v>
      </c>
      <c r="AB162" s="79">
        <f>AA162</f>
        <v>0.95410000000000039</v>
      </c>
      <c r="AC162" s="18" t="s">
        <v>24</v>
      </c>
    </row>
    <row r="163" spans="1:29" s="1" customFormat="1" ht="22.5" x14ac:dyDescent="0.2">
      <c r="A163" s="18">
        <v>111</v>
      </c>
      <c r="B163" s="12" t="s">
        <v>142</v>
      </c>
      <c r="C163" s="69" t="s">
        <v>26</v>
      </c>
      <c r="D163" s="69">
        <v>2.11</v>
      </c>
      <c r="E163" s="69">
        <v>0.38</v>
      </c>
      <c r="F163" s="69"/>
      <c r="G163" s="47">
        <v>2.1440000000000001</v>
      </c>
      <c r="H163" s="12">
        <v>0</v>
      </c>
      <c r="I163" s="12">
        <v>0</v>
      </c>
      <c r="J163" s="12">
        <f t="shared" si="38"/>
        <v>2.1440000000000001</v>
      </c>
      <c r="K163" s="12">
        <v>0</v>
      </c>
      <c r="L163" s="14">
        <f>1.05*10</f>
        <v>10.5</v>
      </c>
      <c r="M163" s="14">
        <f t="shared" si="34"/>
        <v>8.3559999999999999</v>
      </c>
      <c r="N163" s="47">
        <f t="shared" si="35"/>
        <v>8.3559999999999999</v>
      </c>
      <c r="O163" s="17" t="s">
        <v>24</v>
      </c>
      <c r="P163" s="16"/>
      <c r="Q163" s="18">
        <v>111</v>
      </c>
      <c r="R163" s="12" t="s">
        <v>142</v>
      </c>
      <c r="S163" s="15" t="s">
        <v>26</v>
      </c>
      <c r="T163" s="86">
        <v>0</v>
      </c>
      <c r="U163" s="47">
        <f t="shared" si="40"/>
        <v>2.1440000000000001</v>
      </c>
      <c r="V163" s="12">
        <v>0</v>
      </c>
      <c r="W163" s="12">
        <v>0</v>
      </c>
      <c r="X163" s="12">
        <f t="shared" si="39"/>
        <v>2.1440000000000001</v>
      </c>
      <c r="Y163" s="12">
        <v>0</v>
      </c>
      <c r="Z163" s="14">
        <f>1.05*10</f>
        <v>10.5</v>
      </c>
      <c r="AA163" s="13">
        <f t="shared" si="36"/>
        <v>8.3559999999999999</v>
      </c>
      <c r="AB163" s="47">
        <f t="shared" si="37"/>
        <v>8.3559999999999999</v>
      </c>
      <c r="AC163" s="12" t="s">
        <v>24</v>
      </c>
    </row>
    <row r="164" spans="1:29" s="1" customFormat="1" ht="22.5" x14ac:dyDescent="0.2">
      <c r="A164" s="18">
        <v>112</v>
      </c>
      <c r="B164" s="12" t="s">
        <v>145</v>
      </c>
      <c r="C164" s="69" t="s">
        <v>27</v>
      </c>
      <c r="D164" s="69">
        <v>0.64700000000000002</v>
      </c>
      <c r="E164" s="69">
        <v>0.20599999999999999</v>
      </c>
      <c r="F164" s="69"/>
      <c r="G164" s="47">
        <v>0.67900000000000005</v>
      </c>
      <c r="H164" s="12">
        <v>0</v>
      </c>
      <c r="I164" s="12">
        <v>0</v>
      </c>
      <c r="J164" s="12">
        <f t="shared" si="38"/>
        <v>0.67900000000000005</v>
      </c>
      <c r="K164" s="12">
        <v>0</v>
      </c>
      <c r="L164" s="14">
        <f>1.05*2.5</f>
        <v>2.625</v>
      </c>
      <c r="M164" s="13">
        <f t="shared" si="34"/>
        <v>1.946</v>
      </c>
      <c r="N164" s="47">
        <f t="shared" si="35"/>
        <v>1.946</v>
      </c>
      <c r="O164" s="17" t="s">
        <v>24</v>
      </c>
      <c r="P164" s="16"/>
      <c r="Q164" s="18">
        <v>112</v>
      </c>
      <c r="R164" s="12" t="s">
        <v>145</v>
      </c>
      <c r="S164" s="15" t="s">
        <v>27</v>
      </c>
      <c r="T164" s="86">
        <f>0.051+0.003+0.142+0.142+0.016+0.0038-0.1456+0.2419+0.0161+0.0161+0.0161+0.0161-0.064+0.0068+0.0258-0.1692</f>
        <v>0.31789999999999996</v>
      </c>
      <c r="U164" s="47">
        <f t="shared" si="40"/>
        <v>0.99690000000000001</v>
      </c>
      <c r="V164" s="12">
        <v>0</v>
      </c>
      <c r="W164" s="12">
        <v>0</v>
      </c>
      <c r="X164" s="12">
        <f t="shared" si="39"/>
        <v>0.99690000000000001</v>
      </c>
      <c r="Y164" s="12">
        <v>0</v>
      </c>
      <c r="Z164" s="14">
        <f>1.05*2.5</f>
        <v>2.625</v>
      </c>
      <c r="AA164" s="13">
        <f t="shared" si="36"/>
        <v>1.6280999999999999</v>
      </c>
      <c r="AB164" s="47">
        <f t="shared" si="37"/>
        <v>1.6280999999999999</v>
      </c>
      <c r="AC164" s="12" t="s">
        <v>24</v>
      </c>
    </row>
    <row r="165" spans="1:29" s="1" customFormat="1" ht="22.5" x14ac:dyDescent="0.2">
      <c r="A165" s="18">
        <v>113</v>
      </c>
      <c r="B165" s="12" t="s">
        <v>147</v>
      </c>
      <c r="C165" s="69" t="s">
        <v>32</v>
      </c>
      <c r="D165" s="69">
        <v>0.64300000000000002</v>
      </c>
      <c r="E165" s="69">
        <v>0.161</v>
      </c>
      <c r="F165" s="69"/>
      <c r="G165" s="47">
        <v>0.66300000000000003</v>
      </c>
      <c r="H165" s="12">
        <v>0</v>
      </c>
      <c r="I165" s="12">
        <v>0</v>
      </c>
      <c r="J165" s="12">
        <f t="shared" si="38"/>
        <v>0.66300000000000003</v>
      </c>
      <c r="K165" s="12">
        <v>0</v>
      </c>
      <c r="L165" s="14">
        <f>1.05*1.6</f>
        <v>1.6800000000000002</v>
      </c>
      <c r="M165" s="13">
        <f t="shared" ref="M165:M195" si="41">L165-K165-J165</f>
        <v>1.0170000000000001</v>
      </c>
      <c r="N165" s="47">
        <f t="shared" ref="N165:N195" si="42">M165</f>
        <v>1.0170000000000001</v>
      </c>
      <c r="O165" s="17" t="s">
        <v>24</v>
      </c>
      <c r="P165" s="16"/>
      <c r="Q165" s="18">
        <v>113</v>
      </c>
      <c r="R165" s="12" t="s">
        <v>147</v>
      </c>
      <c r="S165" s="15" t="s">
        <v>32</v>
      </c>
      <c r="T165" s="86">
        <f>0.02+0.019+0.016+0.005+0.015-0.0656+0.0244+0.0032+0.0097-0.0376+0.0054+0.3656+0.1538+0.2688-0.4731</f>
        <v>0.32959999999999995</v>
      </c>
      <c r="U165" s="47">
        <f t="shared" si="40"/>
        <v>0.99259999999999993</v>
      </c>
      <c r="V165" s="12">
        <v>0</v>
      </c>
      <c r="W165" s="12">
        <v>0</v>
      </c>
      <c r="X165" s="12">
        <f t="shared" si="39"/>
        <v>0.99259999999999993</v>
      </c>
      <c r="Y165" s="12">
        <v>0</v>
      </c>
      <c r="Z165" s="14">
        <f>1.05*1.6</f>
        <v>1.6800000000000002</v>
      </c>
      <c r="AA165" s="13">
        <f t="shared" ref="AA165:AA195" si="43">Z165-Y165-X165</f>
        <v>0.68740000000000023</v>
      </c>
      <c r="AB165" s="47">
        <f t="shared" si="37"/>
        <v>0.68740000000000023</v>
      </c>
      <c r="AC165" s="12" t="s">
        <v>24</v>
      </c>
    </row>
    <row r="166" spans="1:29" s="1" customFormat="1" ht="22.5" x14ac:dyDescent="0.2">
      <c r="A166" s="18">
        <v>114</v>
      </c>
      <c r="B166" s="18" t="s">
        <v>148</v>
      </c>
      <c r="C166" s="69" t="s">
        <v>52</v>
      </c>
      <c r="D166" s="69">
        <v>17.289000000000001</v>
      </c>
      <c r="E166" s="69">
        <v>7.8659999999999997</v>
      </c>
      <c r="F166" s="69"/>
      <c r="G166" s="79">
        <v>18.994</v>
      </c>
      <c r="H166" s="18">
        <v>0</v>
      </c>
      <c r="I166" s="18">
        <v>0</v>
      </c>
      <c r="J166" s="18">
        <f t="shared" ref="J166:J195" si="44">G166-H166</f>
        <v>18.994</v>
      </c>
      <c r="K166" s="18">
        <v>0</v>
      </c>
      <c r="L166" s="70">
        <f>1.05*32</f>
        <v>33.6</v>
      </c>
      <c r="M166" s="71">
        <f t="shared" si="41"/>
        <v>14.606000000000002</v>
      </c>
      <c r="N166" s="79">
        <f t="shared" si="42"/>
        <v>14.606000000000002</v>
      </c>
      <c r="O166" s="17" t="s">
        <v>24</v>
      </c>
      <c r="P166" s="16"/>
      <c r="Q166" s="18">
        <v>114</v>
      </c>
      <c r="R166" s="12" t="s">
        <v>148</v>
      </c>
      <c r="S166" s="15" t="s">
        <v>52</v>
      </c>
      <c r="T166" s="86">
        <f>1.226+0.8053+0.64+1.4934+0.8064+1.1177329-2.2356+0.0968-1.8439</f>
        <v>2.1061329</v>
      </c>
      <c r="U166" s="47">
        <f t="shared" si="40"/>
        <v>21.100132899999998</v>
      </c>
      <c r="V166" s="12">
        <v>0</v>
      </c>
      <c r="W166" s="12">
        <v>0</v>
      </c>
      <c r="X166" s="12">
        <f t="shared" ref="X166:X195" si="45">U166-V166</f>
        <v>21.100132899999998</v>
      </c>
      <c r="Y166" s="12">
        <v>0</v>
      </c>
      <c r="Z166" s="14">
        <f>1.05*32</f>
        <v>33.6</v>
      </c>
      <c r="AA166" s="13">
        <f t="shared" si="43"/>
        <v>12.499867100000003</v>
      </c>
      <c r="AB166" s="47">
        <f t="shared" si="37"/>
        <v>12.499867100000003</v>
      </c>
      <c r="AC166" s="18" t="s">
        <v>24</v>
      </c>
    </row>
    <row r="167" spans="1:29" s="1" customFormat="1" ht="22.5" x14ac:dyDescent="0.2">
      <c r="A167" s="18">
        <v>115</v>
      </c>
      <c r="B167" s="12" t="s">
        <v>149</v>
      </c>
      <c r="C167" s="69" t="s">
        <v>51</v>
      </c>
      <c r="D167" s="69">
        <v>7.3550000000000004</v>
      </c>
      <c r="E167" s="69">
        <v>3.06</v>
      </c>
      <c r="F167" s="69"/>
      <c r="G167" s="47">
        <v>7.9660000000000002</v>
      </c>
      <c r="H167" s="12">
        <v>0</v>
      </c>
      <c r="I167" s="12">
        <v>0</v>
      </c>
      <c r="J167" s="12">
        <f t="shared" si="44"/>
        <v>7.9660000000000002</v>
      </c>
      <c r="K167" s="12">
        <v>0</v>
      </c>
      <c r="L167" s="14">
        <f>1.05*11.9</f>
        <v>12.495000000000001</v>
      </c>
      <c r="M167" s="13">
        <f t="shared" si="41"/>
        <v>4.5290000000000008</v>
      </c>
      <c r="N167" s="47">
        <f t="shared" si="42"/>
        <v>4.5290000000000008</v>
      </c>
      <c r="O167" s="17" t="s">
        <v>24</v>
      </c>
      <c r="P167" s="16"/>
      <c r="Q167" s="18">
        <v>115</v>
      </c>
      <c r="R167" s="12" t="s">
        <v>149</v>
      </c>
      <c r="S167" s="15" t="s">
        <v>51</v>
      </c>
      <c r="T167" s="86">
        <f>0.0158</f>
        <v>1.5800000000000002E-2</v>
      </c>
      <c r="U167" s="47">
        <f t="shared" si="40"/>
        <v>7.9817999999999998</v>
      </c>
      <c r="V167" s="12">
        <v>0</v>
      </c>
      <c r="W167" s="12">
        <v>0</v>
      </c>
      <c r="X167" s="12">
        <f t="shared" si="45"/>
        <v>7.9817999999999998</v>
      </c>
      <c r="Y167" s="12">
        <v>0</v>
      </c>
      <c r="Z167" s="14">
        <f>1.05*11.9</f>
        <v>12.495000000000001</v>
      </c>
      <c r="AA167" s="13">
        <f t="shared" si="43"/>
        <v>4.5132000000000012</v>
      </c>
      <c r="AB167" s="47">
        <f t="shared" si="37"/>
        <v>4.5132000000000012</v>
      </c>
      <c r="AC167" s="12" t="s">
        <v>24</v>
      </c>
    </row>
    <row r="168" spans="1:29" s="1" customFormat="1" ht="22.5" x14ac:dyDescent="0.2">
      <c r="A168" s="18">
        <v>116</v>
      </c>
      <c r="B168" s="12" t="s">
        <v>152</v>
      </c>
      <c r="C168" s="69" t="s">
        <v>39</v>
      </c>
      <c r="D168" s="69">
        <v>0.97199999999999998</v>
      </c>
      <c r="E168" s="69">
        <v>0.16800000000000001</v>
      </c>
      <c r="F168" s="69"/>
      <c r="G168" s="47">
        <v>0.98599999999999999</v>
      </c>
      <c r="H168" s="12">
        <v>0</v>
      </c>
      <c r="I168" s="12">
        <v>0</v>
      </c>
      <c r="J168" s="12">
        <f t="shared" si="44"/>
        <v>0.98599999999999999</v>
      </c>
      <c r="K168" s="12">
        <v>0</v>
      </c>
      <c r="L168" s="14">
        <f>1.05*2.5</f>
        <v>2.625</v>
      </c>
      <c r="M168" s="13">
        <f t="shared" si="41"/>
        <v>1.639</v>
      </c>
      <c r="N168" s="47">
        <f t="shared" si="42"/>
        <v>1.639</v>
      </c>
      <c r="O168" s="17" t="s">
        <v>24</v>
      </c>
      <c r="P168" s="16"/>
      <c r="Q168" s="18">
        <v>116</v>
      </c>
      <c r="R168" s="12" t="s">
        <v>152</v>
      </c>
      <c r="S168" s="15" t="s">
        <v>39</v>
      </c>
      <c r="T168" s="86">
        <f>0.052+0.01+0.083+0.0108+0.007+0.0045+0.007+0.188158-0.0032+0.0024+0.0054+0.0382-0.2881</f>
        <v>0.1171580000000001</v>
      </c>
      <c r="U168" s="47">
        <f t="shared" si="40"/>
        <v>1.1031580000000001</v>
      </c>
      <c r="V168" s="12">
        <v>0</v>
      </c>
      <c r="W168" s="12">
        <v>0</v>
      </c>
      <c r="X168" s="12">
        <f t="shared" si="45"/>
        <v>1.1031580000000001</v>
      </c>
      <c r="Y168" s="12">
        <v>0</v>
      </c>
      <c r="Z168" s="14">
        <f>1.05*2.5</f>
        <v>2.625</v>
      </c>
      <c r="AA168" s="13">
        <f t="shared" si="43"/>
        <v>1.5218419999999999</v>
      </c>
      <c r="AB168" s="47">
        <f t="shared" si="37"/>
        <v>1.5218419999999999</v>
      </c>
      <c r="AC168" s="12" t="s">
        <v>24</v>
      </c>
    </row>
    <row r="169" spans="1:29" s="1" customFormat="1" ht="22.5" x14ac:dyDescent="0.2">
      <c r="A169" s="18">
        <v>117</v>
      </c>
      <c r="B169" s="12" t="s">
        <v>178</v>
      </c>
      <c r="C169" s="69" t="s">
        <v>34</v>
      </c>
      <c r="D169" s="69">
        <v>0.71099999999999997</v>
      </c>
      <c r="E169" s="69">
        <v>0.28899999999999998</v>
      </c>
      <c r="F169" s="69"/>
      <c r="G169" s="47">
        <v>0.76700000000000002</v>
      </c>
      <c r="H169" s="12">
        <v>0</v>
      </c>
      <c r="I169" s="12">
        <v>0</v>
      </c>
      <c r="J169" s="12">
        <f t="shared" si="44"/>
        <v>0.76700000000000002</v>
      </c>
      <c r="K169" s="12">
        <v>0</v>
      </c>
      <c r="L169" s="14">
        <f>1.05*4</f>
        <v>4.2</v>
      </c>
      <c r="M169" s="13">
        <f t="shared" si="41"/>
        <v>3.4330000000000003</v>
      </c>
      <c r="N169" s="47">
        <f t="shared" si="42"/>
        <v>3.4330000000000003</v>
      </c>
      <c r="O169" s="17" t="s">
        <v>24</v>
      </c>
      <c r="P169" s="16"/>
      <c r="Q169" s="18">
        <v>117</v>
      </c>
      <c r="R169" s="12" t="s">
        <v>178</v>
      </c>
      <c r="S169" s="15" t="s">
        <v>34</v>
      </c>
      <c r="T169" s="86">
        <f>0.09+0.005-0.0037+0.0097-0.0032+0.0075+0.0059+0.0022-0.0105+0.0022</f>
        <v>0.1051</v>
      </c>
      <c r="U169" s="47">
        <f t="shared" si="40"/>
        <v>0.87209999999999999</v>
      </c>
      <c r="V169" s="12">
        <v>0</v>
      </c>
      <c r="W169" s="12">
        <v>0</v>
      </c>
      <c r="X169" s="12">
        <f t="shared" si="45"/>
        <v>0.87209999999999999</v>
      </c>
      <c r="Y169" s="12">
        <v>0</v>
      </c>
      <c r="Z169" s="14">
        <f>1.05*4</f>
        <v>4.2</v>
      </c>
      <c r="AA169" s="13">
        <f t="shared" si="43"/>
        <v>3.3279000000000001</v>
      </c>
      <c r="AB169" s="47">
        <f t="shared" si="37"/>
        <v>3.3279000000000001</v>
      </c>
      <c r="AC169" s="12" t="s">
        <v>24</v>
      </c>
    </row>
    <row r="170" spans="1:29" s="1" customFormat="1" ht="22.5" x14ac:dyDescent="0.2">
      <c r="A170" s="18">
        <v>118</v>
      </c>
      <c r="B170" s="12" t="s">
        <v>181</v>
      </c>
      <c r="C170" s="69" t="s">
        <v>27</v>
      </c>
      <c r="D170" s="69">
        <v>0.81699999999999995</v>
      </c>
      <c r="E170" s="69">
        <v>0.79400000000000004</v>
      </c>
      <c r="F170" s="69"/>
      <c r="G170" s="47">
        <v>0.82799999999999996</v>
      </c>
      <c r="H170" s="12">
        <v>0</v>
      </c>
      <c r="I170" s="12">
        <v>0</v>
      </c>
      <c r="J170" s="12">
        <f t="shared" si="44"/>
        <v>0.82799999999999996</v>
      </c>
      <c r="K170" s="12">
        <v>0</v>
      </c>
      <c r="L170" s="14">
        <f>1.05*2.5</f>
        <v>2.625</v>
      </c>
      <c r="M170" s="13">
        <f t="shared" si="41"/>
        <v>1.7970000000000002</v>
      </c>
      <c r="N170" s="47">
        <f t="shared" si="42"/>
        <v>1.7970000000000002</v>
      </c>
      <c r="O170" s="17" t="s">
        <v>24</v>
      </c>
      <c r="P170" s="16"/>
      <c r="Q170" s="18">
        <v>118</v>
      </c>
      <c r="R170" s="12" t="s">
        <v>181</v>
      </c>
      <c r="S170" s="15" t="s">
        <v>27</v>
      </c>
      <c r="T170" s="86">
        <f>0.006+0.002+0.0054-0.0032+0.0693+0.0077-0.0246+0.0062+0.2688+0.003</f>
        <v>0.34060000000000001</v>
      </c>
      <c r="U170" s="47">
        <f t="shared" si="40"/>
        <v>1.1686000000000001</v>
      </c>
      <c r="V170" s="12">
        <v>0</v>
      </c>
      <c r="W170" s="12">
        <v>0</v>
      </c>
      <c r="X170" s="12">
        <f t="shared" si="45"/>
        <v>1.1686000000000001</v>
      </c>
      <c r="Y170" s="12">
        <v>0</v>
      </c>
      <c r="Z170" s="14">
        <f>1.05*2.5</f>
        <v>2.625</v>
      </c>
      <c r="AA170" s="13">
        <f t="shared" si="43"/>
        <v>1.4563999999999999</v>
      </c>
      <c r="AB170" s="47">
        <f t="shared" si="37"/>
        <v>1.4563999999999999</v>
      </c>
      <c r="AC170" s="12" t="s">
        <v>24</v>
      </c>
    </row>
    <row r="171" spans="1:29" s="1" customFormat="1" ht="22.5" x14ac:dyDescent="0.2">
      <c r="A171" s="18">
        <v>119</v>
      </c>
      <c r="B171" s="12" t="s">
        <v>180</v>
      </c>
      <c r="C171" s="69" t="s">
        <v>28</v>
      </c>
      <c r="D171" s="69">
        <v>0.69</v>
      </c>
      <c r="E171" s="69">
        <v>0.70399999999999996</v>
      </c>
      <c r="F171" s="69"/>
      <c r="G171" s="47">
        <v>0.93200000000000005</v>
      </c>
      <c r="H171" s="12">
        <v>0</v>
      </c>
      <c r="I171" s="12">
        <v>0</v>
      </c>
      <c r="J171" s="12">
        <f t="shared" si="44"/>
        <v>0.93200000000000005</v>
      </c>
      <c r="K171" s="12">
        <v>0</v>
      </c>
      <c r="L171" s="14">
        <f>1.05*1.6</f>
        <v>1.6800000000000002</v>
      </c>
      <c r="M171" s="13">
        <f t="shared" si="41"/>
        <v>0.74800000000000011</v>
      </c>
      <c r="N171" s="47">
        <f t="shared" si="42"/>
        <v>0.74800000000000011</v>
      </c>
      <c r="O171" s="17" t="s">
        <v>24</v>
      </c>
      <c r="P171" s="16"/>
      <c r="Q171" s="18">
        <v>119</v>
      </c>
      <c r="R171" s="12" t="s">
        <v>180</v>
      </c>
      <c r="S171" s="15" t="s">
        <v>28</v>
      </c>
      <c r="T171" s="86">
        <f>0.037+0.004+0.002+0.003-0.0161+0.0062+0.004+0.0054-0.0043</f>
        <v>4.1200000000000001E-2</v>
      </c>
      <c r="U171" s="47">
        <f t="shared" si="40"/>
        <v>0.97320000000000007</v>
      </c>
      <c r="V171" s="12">
        <v>0</v>
      </c>
      <c r="W171" s="12">
        <v>0</v>
      </c>
      <c r="X171" s="12">
        <f t="shared" si="45"/>
        <v>0.97320000000000007</v>
      </c>
      <c r="Y171" s="12">
        <v>0</v>
      </c>
      <c r="Z171" s="14">
        <f>1.05*1.6</f>
        <v>1.6800000000000002</v>
      </c>
      <c r="AA171" s="13">
        <f t="shared" si="43"/>
        <v>0.70680000000000009</v>
      </c>
      <c r="AB171" s="47">
        <f t="shared" si="37"/>
        <v>0.70680000000000009</v>
      </c>
      <c r="AC171" s="12" t="s">
        <v>24</v>
      </c>
    </row>
    <row r="172" spans="1:29" s="1" customFormat="1" ht="22.5" x14ac:dyDescent="0.2">
      <c r="A172" s="18">
        <v>120</v>
      </c>
      <c r="B172" s="12" t="s">
        <v>179</v>
      </c>
      <c r="C172" s="69" t="s">
        <v>33</v>
      </c>
      <c r="D172" s="69">
        <v>0.58399999999999996</v>
      </c>
      <c r="E172" s="69">
        <v>0.308</v>
      </c>
      <c r="F172" s="69"/>
      <c r="G172" s="47">
        <v>0.66</v>
      </c>
      <c r="H172" s="12">
        <v>0</v>
      </c>
      <c r="I172" s="12">
        <v>0</v>
      </c>
      <c r="J172" s="12">
        <f t="shared" si="44"/>
        <v>0.66</v>
      </c>
      <c r="K172" s="12">
        <v>0</v>
      </c>
      <c r="L172" s="14">
        <f>1.05*1.6</f>
        <v>1.6800000000000002</v>
      </c>
      <c r="M172" s="13">
        <f t="shared" si="41"/>
        <v>1.02</v>
      </c>
      <c r="N172" s="47">
        <f t="shared" si="42"/>
        <v>1.02</v>
      </c>
      <c r="O172" s="17" t="s">
        <v>24</v>
      </c>
      <c r="P172" s="16"/>
      <c r="Q172" s="18">
        <v>120</v>
      </c>
      <c r="R172" s="12" t="s">
        <v>179</v>
      </c>
      <c r="S172" s="15" t="s">
        <v>33</v>
      </c>
      <c r="T172" s="86">
        <f>0.022+0.026-0.0177+0.004-0.0242+0.0059+0.0068</f>
        <v>2.2799999999999997E-2</v>
      </c>
      <c r="U172" s="47">
        <f t="shared" si="40"/>
        <v>0.68280000000000007</v>
      </c>
      <c r="V172" s="12">
        <v>0</v>
      </c>
      <c r="W172" s="12">
        <v>0</v>
      </c>
      <c r="X172" s="12">
        <f t="shared" si="45"/>
        <v>0.68280000000000007</v>
      </c>
      <c r="Y172" s="12">
        <v>0</v>
      </c>
      <c r="Z172" s="14">
        <f>1.05*1.6</f>
        <v>1.6800000000000002</v>
      </c>
      <c r="AA172" s="13">
        <f t="shared" si="43"/>
        <v>0.99720000000000009</v>
      </c>
      <c r="AB172" s="47">
        <f t="shared" ref="AB172:AB195" si="46">AA172</f>
        <v>0.99720000000000009</v>
      </c>
      <c r="AC172" s="12" t="s">
        <v>24</v>
      </c>
    </row>
    <row r="173" spans="1:29" s="1" customFormat="1" ht="22.5" x14ac:dyDescent="0.2">
      <c r="A173" s="18">
        <v>121</v>
      </c>
      <c r="B173" s="12" t="s">
        <v>182</v>
      </c>
      <c r="C173" s="69" t="s">
        <v>27</v>
      </c>
      <c r="D173" s="69">
        <v>0.20699999999999999</v>
      </c>
      <c r="E173" s="69">
        <v>0.26</v>
      </c>
      <c r="F173" s="69"/>
      <c r="G173" s="47">
        <v>0.33200000000000002</v>
      </c>
      <c r="H173" s="12">
        <v>0</v>
      </c>
      <c r="I173" s="12">
        <v>0</v>
      </c>
      <c r="J173" s="12">
        <f t="shared" si="44"/>
        <v>0.33200000000000002</v>
      </c>
      <c r="K173" s="12">
        <v>0</v>
      </c>
      <c r="L173" s="14">
        <f>1.05*2.5</f>
        <v>2.625</v>
      </c>
      <c r="M173" s="13">
        <f t="shared" si="41"/>
        <v>2.2930000000000001</v>
      </c>
      <c r="N173" s="47">
        <f t="shared" si="42"/>
        <v>2.2930000000000001</v>
      </c>
      <c r="O173" s="17" t="s">
        <v>24</v>
      </c>
      <c r="P173" s="16"/>
      <c r="Q173" s="18">
        <v>121</v>
      </c>
      <c r="R173" s="12" t="s">
        <v>182</v>
      </c>
      <c r="S173" s="15" t="s">
        <v>27</v>
      </c>
      <c r="T173" s="86">
        <v>0</v>
      </c>
      <c r="U173" s="47">
        <f t="shared" si="40"/>
        <v>0.33200000000000002</v>
      </c>
      <c r="V173" s="12">
        <v>0</v>
      </c>
      <c r="W173" s="12">
        <v>0</v>
      </c>
      <c r="X173" s="12">
        <f t="shared" si="45"/>
        <v>0.33200000000000002</v>
      </c>
      <c r="Y173" s="12">
        <v>0</v>
      </c>
      <c r="Z173" s="14">
        <f>1.05*2.5</f>
        <v>2.625</v>
      </c>
      <c r="AA173" s="13">
        <f t="shared" si="43"/>
        <v>2.2930000000000001</v>
      </c>
      <c r="AB173" s="47">
        <f t="shared" si="46"/>
        <v>2.2930000000000001</v>
      </c>
      <c r="AC173" s="12" t="s">
        <v>24</v>
      </c>
    </row>
    <row r="174" spans="1:29" s="1" customFormat="1" ht="22.5" x14ac:dyDescent="0.2">
      <c r="A174" s="18">
        <v>122</v>
      </c>
      <c r="B174" s="12" t="s">
        <v>183</v>
      </c>
      <c r="C174" s="69" t="s">
        <v>42</v>
      </c>
      <c r="D174" s="69">
        <v>0.98099999999999998</v>
      </c>
      <c r="E174" s="69">
        <v>0.73699999999999999</v>
      </c>
      <c r="F174" s="69"/>
      <c r="G174" s="47">
        <v>1.2270000000000001</v>
      </c>
      <c r="H174" s="12">
        <v>0</v>
      </c>
      <c r="I174" s="12">
        <v>0</v>
      </c>
      <c r="J174" s="12">
        <f t="shared" si="44"/>
        <v>1.2270000000000001</v>
      </c>
      <c r="K174" s="12">
        <v>0</v>
      </c>
      <c r="L174" s="14">
        <f>1.05*2.5</f>
        <v>2.625</v>
      </c>
      <c r="M174" s="13">
        <f t="shared" si="41"/>
        <v>1.3979999999999999</v>
      </c>
      <c r="N174" s="47">
        <f t="shared" si="42"/>
        <v>1.3979999999999999</v>
      </c>
      <c r="O174" s="17" t="s">
        <v>24</v>
      </c>
      <c r="P174" s="16"/>
      <c r="Q174" s="18">
        <v>122</v>
      </c>
      <c r="R174" s="12" t="s">
        <v>183</v>
      </c>
      <c r="S174" s="15" t="s">
        <v>42</v>
      </c>
      <c r="T174" s="86">
        <f>0.023+0.01+0.003+0.008+0.0054-0.0089+0.0032-0.0097+0.0032+0.0161+0.0075+0.0075+0.1505-0.0378+0.1505+0.0032</f>
        <v>0.3347</v>
      </c>
      <c r="U174" s="47">
        <f t="shared" si="40"/>
        <v>1.5617000000000001</v>
      </c>
      <c r="V174" s="12">
        <v>0</v>
      </c>
      <c r="W174" s="12">
        <v>0</v>
      </c>
      <c r="X174" s="12">
        <f t="shared" si="45"/>
        <v>1.5617000000000001</v>
      </c>
      <c r="Y174" s="12">
        <v>0</v>
      </c>
      <c r="Z174" s="14">
        <f>1.05*2.5</f>
        <v>2.625</v>
      </c>
      <c r="AA174" s="13">
        <f t="shared" si="43"/>
        <v>1.0632999999999999</v>
      </c>
      <c r="AB174" s="47">
        <f t="shared" si="46"/>
        <v>1.0632999999999999</v>
      </c>
      <c r="AC174" s="12" t="s">
        <v>24</v>
      </c>
    </row>
    <row r="175" spans="1:29" s="1" customFormat="1" ht="22.5" x14ac:dyDescent="0.2">
      <c r="A175" s="18">
        <v>123</v>
      </c>
      <c r="B175" s="12" t="s">
        <v>184</v>
      </c>
      <c r="C175" s="69" t="s">
        <v>34</v>
      </c>
      <c r="D175" s="69">
        <v>2.222</v>
      </c>
      <c r="E175" s="69">
        <v>0.91200000000000003</v>
      </c>
      <c r="F175" s="69"/>
      <c r="G175" s="47">
        <v>2.4020000000000001</v>
      </c>
      <c r="H175" s="12">
        <v>0</v>
      </c>
      <c r="I175" s="12">
        <v>0</v>
      </c>
      <c r="J175" s="12">
        <f t="shared" si="44"/>
        <v>2.4020000000000001</v>
      </c>
      <c r="K175" s="12">
        <v>0</v>
      </c>
      <c r="L175" s="14">
        <f>1.05*4</f>
        <v>4.2</v>
      </c>
      <c r="M175" s="13">
        <f t="shared" si="41"/>
        <v>1.798</v>
      </c>
      <c r="N175" s="47">
        <f t="shared" si="42"/>
        <v>1.798</v>
      </c>
      <c r="O175" s="17" t="s">
        <v>24</v>
      </c>
      <c r="P175" s="16"/>
      <c r="Q175" s="18">
        <v>123</v>
      </c>
      <c r="R175" s="12" t="s">
        <v>184</v>
      </c>
      <c r="S175" s="15" t="s">
        <v>34</v>
      </c>
      <c r="T175" s="86">
        <f>0.042+0.013+0.011+0.002+0.021+0.016+0.0032-0.0323+0.028+0.0161+0.0032+0.0054+0.006+0.0065+0.005376-0.0699+0.0013+0.0075-0.0175</f>
        <v>6.7875999999999978E-2</v>
      </c>
      <c r="U175" s="47">
        <f t="shared" si="40"/>
        <v>2.4698760000000002</v>
      </c>
      <c r="V175" s="12">
        <v>0</v>
      </c>
      <c r="W175" s="12">
        <v>0</v>
      </c>
      <c r="X175" s="12">
        <f t="shared" si="45"/>
        <v>2.4698760000000002</v>
      </c>
      <c r="Y175" s="12">
        <v>0</v>
      </c>
      <c r="Z175" s="14">
        <f>1.05*4</f>
        <v>4.2</v>
      </c>
      <c r="AA175" s="13">
        <f t="shared" si="43"/>
        <v>1.730124</v>
      </c>
      <c r="AB175" s="47">
        <f t="shared" si="46"/>
        <v>1.730124</v>
      </c>
      <c r="AC175" s="12" t="s">
        <v>24</v>
      </c>
    </row>
    <row r="176" spans="1:29" s="1" customFormat="1" ht="22.5" x14ac:dyDescent="0.2">
      <c r="A176" s="18">
        <v>124</v>
      </c>
      <c r="B176" s="12" t="s">
        <v>185</v>
      </c>
      <c r="C176" s="69" t="s">
        <v>42</v>
      </c>
      <c r="D176" s="69">
        <v>1.8049999999999999</v>
      </c>
      <c r="E176" s="69">
        <v>0.74299999999999999</v>
      </c>
      <c r="F176" s="69"/>
      <c r="G176" s="47">
        <v>1.952</v>
      </c>
      <c r="H176" s="12">
        <v>0</v>
      </c>
      <c r="I176" s="12">
        <v>0</v>
      </c>
      <c r="J176" s="12">
        <f t="shared" si="44"/>
        <v>1.952</v>
      </c>
      <c r="K176" s="12">
        <v>0</v>
      </c>
      <c r="L176" s="14">
        <f>1.05*2.5</f>
        <v>2.625</v>
      </c>
      <c r="M176" s="13">
        <f t="shared" si="41"/>
        <v>0.67300000000000004</v>
      </c>
      <c r="N176" s="47">
        <f t="shared" si="42"/>
        <v>0.67300000000000004</v>
      </c>
      <c r="O176" s="17" t="s">
        <v>24</v>
      </c>
      <c r="P176" s="16"/>
      <c r="Q176" s="18">
        <v>124</v>
      </c>
      <c r="R176" s="12" t="s">
        <v>185</v>
      </c>
      <c r="S176" s="15" t="s">
        <v>42</v>
      </c>
      <c r="T176" s="86">
        <f>0.108+0.005+0.003+0.0032-0.0048+0.0032+0.0032+0.0054+0.008601-0.0129+0.0161+0.4301-0.0376+0.0188</f>
        <v>0.54930100000000004</v>
      </c>
      <c r="U176" s="47">
        <f t="shared" si="40"/>
        <v>2.5013009999999998</v>
      </c>
      <c r="V176" s="12">
        <v>0</v>
      </c>
      <c r="W176" s="12">
        <v>0</v>
      </c>
      <c r="X176" s="12">
        <f t="shared" si="45"/>
        <v>2.5013009999999998</v>
      </c>
      <c r="Y176" s="12">
        <v>0</v>
      </c>
      <c r="Z176" s="14">
        <f>1.05*2.5</f>
        <v>2.625</v>
      </c>
      <c r="AA176" s="13">
        <f t="shared" si="43"/>
        <v>0.12369900000000023</v>
      </c>
      <c r="AB176" s="47">
        <f t="shared" si="46"/>
        <v>0.12369900000000023</v>
      </c>
      <c r="AC176" s="12" t="s">
        <v>24</v>
      </c>
    </row>
    <row r="177" spans="1:29" s="1" customFormat="1" ht="22.5" x14ac:dyDescent="0.2">
      <c r="A177" s="18">
        <v>125</v>
      </c>
      <c r="B177" s="12" t="s">
        <v>186</v>
      </c>
      <c r="C177" s="69" t="s">
        <v>36</v>
      </c>
      <c r="D177" s="69">
        <v>1.224</v>
      </c>
      <c r="E177" s="69">
        <v>0.38</v>
      </c>
      <c r="F177" s="69"/>
      <c r="G177" s="47">
        <v>1.282</v>
      </c>
      <c r="H177" s="12">
        <v>0</v>
      </c>
      <c r="I177" s="12">
        <v>0</v>
      </c>
      <c r="J177" s="12">
        <f t="shared" si="44"/>
        <v>1.282</v>
      </c>
      <c r="K177" s="12">
        <v>0</v>
      </c>
      <c r="L177" s="14">
        <f>1.05*2.5</f>
        <v>2.625</v>
      </c>
      <c r="M177" s="13">
        <f t="shared" si="41"/>
        <v>1.343</v>
      </c>
      <c r="N177" s="47">
        <f t="shared" si="42"/>
        <v>1.343</v>
      </c>
      <c r="O177" s="17" t="s">
        <v>24</v>
      </c>
      <c r="P177" s="16"/>
      <c r="Q177" s="18">
        <v>125</v>
      </c>
      <c r="R177" s="12" t="s">
        <v>186</v>
      </c>
      <c r="S177" s="15" t="s">
        <v>36</v>
      </c>
      <c r="T177" s="86">
        <f>0.005+0.003-0.0032+0.0292</f>
        <v>3.4000000000000002E-2</v>
      </c>
      <c r="U177" s="47">
        <f t="shared" si="40"/>
        <v>1.3160000000000001</v>
      </c>
      <c r="V177" s="12">
        <v>0</v>
      </c>
      <c r="W177" s="12">
        <v>0</v>
      </c>
      <c r="X177" s="12">
        <f t="shared" si="45"/>
        <v>1.3160000000000001</v>
      </c>
      <c r="Y177" s="12">
        <v>0</v>
      </c>
      <c r="Z177" s="14">
        <f>1.05*2.5</f>
        <v>2.625</v>
      </c>
      <c r="AA177" s="13">
        <f t="shared" si="43"/>
        <v>1.3089999999999999</v>
      </c>
      <c r="AB177" s="47">
        <f t="shared" si="46"/>
        <v>1.3089999999999999</v>
      </c>
      <c r="AC177" s="12" t="s">
        <v>24</v>
      </c>
    </row>
    <row r="178" spans="1:29" s="1" customFormat="1" ht="22.5" x14ac:dyDescent="0.2">
      <c r="A178" s="18">
        <v>126</v>
      </c>
      <c r="B178" s="12" t="s">
        <v>187</v>
      </c>
      <c r="C178" s="69" t="s">
        <v>28</v>
      </c>
      <c r="D178" s="69">
        <v>0.58499999999999996</v>
      </c>
      <c r="E178" s="69">
        <v>0.59699999999999998</v>
      </c>
      <c r="F178" s="69"/>
      <c r="G178" s="47">
        <v>0.72099999999999997</v>
      </c>
      <c r="H178" s="12">
        <v>0</v>
      </c>
      <c r="I178" s="12">
        <v>0</v>
      </c>
      <c r="J178" s="12">
        <f t="shared" si="44"/>
        <v>0.72099999999999997</v>
      </c>
      <c r="K178" s="12">
        <v>0</v>
      </c>
      <c r="L178" s="14">
        <f>1.05*1.6</f>
        <v>1.6800000000000002</v>
      </c>
      <c r="M178" s="13">
        <f t="shared" si="41"/>
        <v>0.95900000000000019</v>
      </c>
      <c r="N178" s="47">
        <f t="shared" si="42"/>
        <v>0.95900000000000019</v>
      </c>
      <c r="O178" s="17" t="s">
        <v>24</v>
      </c>
      <c r="P178" s="16"/>
      <c r="Q178" s="18">
        <v>126</v>
      </c>
      <c r="R178" s="12" t="s">
        <v>187</v>
      </c>
      <c r="S178" s="15" t="s">
        <v>28</v>
      </c>
      <c r="T178" s="86">
        <f>0.005+0.005+0.005+0.006-0.0161+0.0161+0.0054+0.0054+0.012902-0.0102-0.011</f>
        <v>2.3502000000000006E-2</v>
      </c>
      <c r="U178" s="47">
        <f t="shared" si="40"/>
        <v>0.744502</v>
      </c>
      <c r="V178" s="12">
        <v>0</v>
      </c>
      <c r="W178" s="12">
        <v>0</v>
      </c>
      <c r="X178" s="12">
        <f t="shared" si="45"/>
        <v>0.744502</v>
      </c>
      <c r="Y178" s="12">
        <v>0</v>
      </c>
      <c r="Z178" s="14">
        <f>1.05*1.6</f>
        <v>1.6800000000000002</v>
      </c>
      <c r="AA178" s="13">
        <f t="shared" si="43"/>
        <v>0.93549800000000016</v>
      </c>
      <c r="AB178" s="47">
        <f t="shared" si="46"/>
        <v>0.93549800000000016</v>
      </c>
      <c r="AC178" s="12" t="s">
        <v>24</v>
      </c>
    </row>
    <row r="179" spans="1:29" s="1" customFormat="1" ht="22.5" x14ac:dyDescent="0.2">
      <c r="A179" s="18">
        <v>127</v>
      </c>
      <c r="B179" s="12" t="s">
        <v>188</v>
      </c>
      <c r="C179" s="69" t="s">
        <v>28</v>
      </c>
      <c r="D179" s="69">
        <v>0.46100000000000002</v>
      </c>
      <c r="E179" s="69">
        <v>0.248</v>
      </c>
      <c r="F179" s="69"/>
      <c r="G179" s="47">
        <v>0.52300000000000002</v>
      </c>
      <c r="H179" s="12">
        <v>0</v>
      </c>
      <c r="I179" s="12">
        <v>0</v>
      </c>
      <c r="J179" s="12">
        <f t="shared" si="44"/>
        <v>0.52300000000000002</v>
      </c>
      <c r="K179" s="12">
        <v>0</v>
      </c>
      <c r="L179" s="14">
        <f>1.05*1.6</f>
        <v>1.6800000000000002</v>
      </c>
      <c r="M179" s="13">
        <f t="shared" si="41"/>
        <v>1.157</v>
      </c>
      <c r="N179" s="47">
        <f t="shared" si="42"/>
        <v>1.157</v>
      </c>
      <c r="O179" s="17" t="s">
        <v>24</v>
      </c>
      <c r="P179" s="16"/>
      <c r="Q179" s="18">
        <v>127</v>
      </c>
      <c r="R179" s="12" t="s">
        <v>188</v>
      </c>
      <c r="S179" s="15" t="s">
        <v>28</v>
      </c>
      <c r="T179" s="86">
        <f>0.024+0.005-0.0083+0.0054-0.0102-0.0114</f>
        <v>4.500000000000004E-3</v>
      </c>
      <c r="U179" s="47">
        <f t="shared" si="40"/>
        <v>0.52750000000000008</v>
      </c>
      <c r="V179" s="12">
        <v>0</v>
      </c>
      <c r="W179" s="12">
        <v>0</v>
      </c>
      <c r="X179" s="12">
        <f t="shared" si="45"/>
        <v>0.52750000000000008</v>
      </c>
      <c r="Y179" s="12">
        <v>0</v>
      </c>
      <c r="Z179" s="14">
        <f>1.05*1.6</f>
        <v>1.6800000000000002</v>
      </c>
      <c r="AA179" s="13">
        <f t="shared" si="43"/>
        <v>1.1525000000000001</v>
      </c>
      <c r="AB179" s="47">
        <f t="shared" si="46"/>
        <v>1.1525000000000001</v>
      </c>
      <c r="AC179" s="12" t="s">
        <v>24</v>
      </c>
    </row>
    <row r="180" spans="1:29" s="1" customFormat="1" ht="22.5" x14ac:dyDescent="0.2">
      <c r="A180" s="18">
        <v>128</v>
      </c>
      <c r="B180" s="12" t="s">
        <v>189</v>
      </c>
      <c r="C180" s="69" t="s">
        <v>27</v>
      </c>
      <c r="D180" s="69">
        <v>1.494</v>
      </c>
      <c r="E180" s="69">
        <v>0.64200000000000002</v>
      </c>
      <c r="F180" s="69"/>
      <c r="G180" s="47">
        <v>1.8939999999999999</v>
      </c>
      <c r="H180" s="12">
        <v>0</v>
      </c>
      <c r="I180" s="12">
        <v>0</v>
      </c>
      <c r="J180" s="12">
        <f t="shared" si="44"/>
        <v>1.8939999999999999</v>
      </c>
      <c r="K180" s="12">
        <v>0</v>
      </c>
      <c r="L180" s="14">
        <f>1.05*2.5</f>
        <v>2.625</v>
      </c>
      <c r="M180" s="13">
        <f t="shared" si="41"/>
        <v>0.73100000000000009</v>
      </c>
      <c r="N180" s="47">
        <f t="shared" si="42"/>
        <v>0.73100000000000009</v>
      </c>
      <c r="O180" s="17" t="s">
        <v>24</v>
      </c>
      <c r="P180" s="16"/>
      <c r="Q180" s="18">
        <v>128</v>
      </c>
      <c r="R180" s="12" t="s">
        <v>189</v>
      </c>
      <c r="S180" s="15" t="s">
        <v>27</v>
      </c>
      <c r="T180" s="86">
        <f>0.015+0.01+0.005+0.008+0.012+0.009+0.005+0.003+0.022+0.0118-0.0374+0.0048+0.0019+0.0047+0.006451-0.0556+0.215+0.0129+0.0108-0.0187</f>
        <v>0.24565100000000001</v>
      </c>
      <c r="U180" s="47">
        <f t="shared" si="40"/>
        <v>2.1396509999999997</v>
      </c>
      <c r="V180" s="12">
        <v>0</v>
      </c>
      <c r="W180" s="12">
        <v>0</v>
      </c>
      <c r="X180" s="12">
        <f t="shared" si="45"/>
        <v>2.1396509999999997</v>
      </c>
      <c r="Y180" s="12">
        <v>0</v>
      </c>
      <c r="Z180" s="14">
        <f>1.05*2.5</f>
        <v>2.625</v>
      </c>
      <c r="AA180" s="13">
        <f t="shared" si="43"/>
        <v>0.48534900000000025</v>
      </c>
      <c r="AB180" s="47">
        <f t="shared" si="46"/>
        <v>0.48534900000000025</v>
      </c>
      <c r="AC180" s="12" t="s">
        <v>24</v>
      </c>
    </row>
    <row r="181" spans="1:29" s="1" customFormat="1" ht="22.5" x14ac:dyDescent="0.2">
      <c r="A181" s="18">
        <v>129</v>
      </c>
      <c r="B181" s="12" t="s">
        <v>190</v>
      </c>
      <c r="C181" s="69" t="s">
        <v>33</v>
      </c>
      <c r="D181" s="69">
        <v>0.48099999999999998</v>
      </c>
      <c r="E181" s="69">
        <v>0.16</v>
      </c>
      <c r="F181" s="69"/>
      <c r="G181" s="47">
        <v>0.50700000000000001</v>
      </c>
      <c r="H181" s="12">
        <v>0</v>
      </c>
      <c r="I181" s="12">
        <v>0</v>
      </c>
      <c r="J181" s="12">
        <f t="shared" si="44"/>
        <v>0.50700000000000001</v>
      </c>
      <c r="K181" s="12">
        <v>0</v>
      </c>
      <c r="L181" s="14">
        <f>1.05*1.6</f>
        <v>1.6800000000000002</v>
      </c>
      <c r="M181" s="13">
        <f t="shared" si="41"/>
        <v>1.173</v>
      </c>
      <c r="N181" s="47">
        <f t="shared" si="42"/>
        <v>1.173</v>
      </c>
      <c r="O181" s="17" t="s">
        <v>24</v>
      </c>
      <c r="P181" s="16"/>
      <c r="Q181" s="18">
        <v>129</v>
      </c>
      <c r="R181" s="12" t="s">
        <v>190</v>
      </c>
      <c r="S181" s="15" t="s">
        <v>33</v>
      </c>
      <c r="T181" s="86">
        <f>0+0.0108</f>
        <v>1.0800000000000001E-2</v>
      </c>
      <c r="U181" s="47">
        <f t="shared" si="40"/>
        <v>0.51780000000000004</v>
      </c>
      <c r="V181" s="12">
        <v>0</v>
      </c>
      <c r="W181" s="12">
        <v>0</v>
      </c>
      <c r="X181" s="12">
        <f t="shared" si="45"/>
        <v>0.51780000000000004</v>
      </c>
      <c r="Y181" s="12">
        <v>0</v>
      </c>
      <c r="Z181" s="14">
        <f>1.05*1.6</f>
        <v>1.6800000000000002</v>
      </c>
      <c r="AA181" s="13">
        <f t="shared" si="43"/>
        <v>1.1622000000000001</v>
      </c>
      <c r="AB181" s="47">
        <f t="shared" si="46"/>
        <v>1.1622000000000001</v>
      </c>
      <c r="AC181" s="12" t="s">
        <v>24</v>
      </c>
    </row>
    <row r="182" spans="1:29" s="1" customFormat="1" ht="22.5" x14ac:dyDescent="0.2">
      <c r="A182" s="18">
        <v>130</v>
      </c>
      <c r="B182" s="12" t="s">
        <v>191</v>
      </c>
      <c r="C182" s="69" t="s">
        <v>33</v>
      </c>
      <c r="D182" s="69">
        <v>0.82199999999999995</v>
      </c>
      <c r="E182" s="69">
        <v>0.30299999999999999</v>
      </c>
      <c r="F182" s="69"/>
      <c r="G182" s="47">
        <v>0.876</v>
      </c>
      <c r="H182" s="12">
        <v>0</v>
      </c>
      <c r="I182" s="12">
        <v>0</v>
      </c>
      <c r="J182" s="12">
        <f t="shared" si="44"/>
        <v>0.876</v>
      </c>
      <c r="K182" s="12">
        <v>0</v>
      </c>
      <c r="L182" s="14">
        <f>1.05*1.6</f>
        <v>1.6800000000000002</v>
      </c>
      <c r="M182" s="13">
        <f t="shared" si="41"/>
        <v>0.80400000000000016</v>
      </c>
      <c r="N182" s="47">
        <f t="shared" si="42"/>
        <v>0.80400000000000016</v>
      </c>
      <c r="O182" s="17" t="s">
        <v>24</v>
      </c>
      <c r="P182" s="16"/>
      <c r="Q182" s="18">
        <v>130</v>
      </c>
      <c r="R182" s="12" t="s">
        <v>191</v>
      </c>
      <c r="S182" s="15" t="s">
        <v>33</v>
      </c>
      <c r="T182" s="86">
        <f>0.016+0.002-0.0073+0.1462+0.0043+0.001344+0.014+0.0022+0.0075-0.0123</f>
        <v>0.17394400000000002</v>
      </c>
      <c r="U182" s="47">
        <f t="shared" si="40"/>
        <v>1.049944</v>
      </c>
      <c r="V182" s="12">
        <v>0</v>
      </c>
      <c r="W182" s="12">
        <v>0</v>
      </c>
      <c r="X182" s="12">
        <f t="shared" si="45"/>
        <v>1.049944</v>
      </c>
      <c r="Y182" s="12">
        <v>0</v>
      </c>
      <c r="Z182" s="14">
        <f>1.05*1.6</f>
        <v>1.6800000000000002</v>
      </c>
      <c r="AA182" s="13">
        <f t="shared" si="43"/>
        <v>0.63005600000000017</v>
      </c>
      <c r="AB182" s="47">
        <f t="shared" si="46"/>
        <v>0.63005600000000017</v>
      </c>
      <c r="AC182" s="12" t="s">
        <v>24</v>
      </c>
    </row>
    <row r="183" spans="1:29" s="1" customFormat="1" ht="22.5" x14ac:dyDescent="0.2">
      <c r="A183" s="18">
        <v>131</v>
      </c>
      <c r="B183" s="12" t="s">
        <v>192</v>
      </c>
      <c r="C183" s="69" t="s">
        <v>27</v>
      </c>
      <c r="D183" s="69">
        <v>0.34699999999999998</v>
      </c>
      <c r="E183" s="69">
        <v>0.34699999999999998</v>
      </c>
      <c r="F183" s="69"/>
      <c r="G183" s="47">
        <v>0.49</v>
      </c>
      <c r="H183" s="12">
        <v>0</v>
      </c>
      <c r="I183" s="12">
        <v>0</v>
      </c>
      <c r="J183" s="12">
        <f t="shared" si="44"/>
        <v>0.49</v>
      </c>
      <c r="K183" s="12">
        <v>0</v>
      </c>
      <c r="L183" s="14">
        <f>1.05*2.5</f>
        <v>2.625</v>
      </c>
      <c r="M183" s="13">
        <f t="shared" si="41"/>
        <v>2.1349999999999998</v>
      </c>
      <c r="N183" s="47">
        <f t="shared" si="42"/>
        <v>2.1349999999999998</v>
      </c>
      <c r="O183" s="17" t="s">
        <v>24</v>
      </c>
      <c r="P183" s="16"/>
      <c r="Q183" s="18">
        <v>131</v>
      </c>
      <c r="R183" s="12" t="s">
        <v>192</v>
      </c>
      <c r="S183" s="15" t="s">
        <v>27</v>
      </c>
      <c r="T183" s="86">
        <f>0.013+0.005+0.007+0.0032+0.215-0.2183+0.0108+0.0005-0.0151</f>
        <v>2.1100000000000008E-2</v>
      </c>
      <c r="U183" s="47">
        <f t="shared" si="40"/>
        <v>0.5111</v>
      </c>
      <c r="V183" s="12">
        <v>0</v>
      </c>
      <c r="W183" s="12">
        <v>0</v>
      </c>
      <c r="X183" s="12">
        <f t="shared" si="45"/>
        <v>0.5111</v>
      </c>
      <c r="Y183" s="12">
        <v>0</v>
      </c>
      <c r="Z183" s="14">
        <f>1.05*2.5</f>
        <v>2.625</v>
      </c>
      <c r="AA183" s="13">
        <f t="shared" si="43"/>
        <v>2.1139000000000001</v>
      </c>
      <c r="AB183" s="47">
        <f t="shared" si="46"/>
        <v>2.1139000000000001</v>
      </c>
      <c r="AC183" s="12" t="s">
        <v>24</v>
      </c>
    </row>
    <row r="184" spans="1:29" s="1" customFormat="1" ht="22.5" x14ac:dyDescent="0.2">
      <c r="A184" s="18">
        <v>132</v>
      </c>
      <c r="B184" s="12" t="s">
        <v>193</v>
      </c>
      <c r="C184" s="69" t="s">
        <v>34</v>
      </c>
      <c r="D184" s="69">
        <v>3.1970000000000001</v>
      </c>
      <c r="E184" s="69">
        <v>1.167</v>
      </c>
      <c r="F184" s="69"/>
      <c r="G184" s="47">
        <v>3.403</v>
      </c>
      <c r="H184" s="12">
        <v>0</v>
      </c>
      <c r="I184" s="12">
        <v>0</v>
      </c>
      <c r="J184" s="12">
        <f t="shared" si="44"/>
        <v>3.403</v>
      </c>
      <c r="K184" s="12">
        <v>0</v>
      </c>
      <c r="L184" s="14">
        <f>1.05*4</f>
        <v>4.2</v>
      </c>
      <c r="M184" s="13">
        <f t="shared" si="41"/>
        <v>0.79700000000000015</v>
      </c>
      <c r="N184" s="47">
        <f t="shared" si="42"/>
        <v>0.79700000000000015</v>
      </c>
      <c r="O184" s="17" t="s">
        <v>24</v>
      </c>
      <c r="P184" s="16"/>
      <c r="Q184" s="18">
        <v>132</v>
      </c>
      <c r="R184" s="12" t="s">
        <v>193</v>
      </c>
      <c r="S184" s="15" t="s">
        <v>34</v>
      </c>
      <c r="T184" s="86">
        <f>0+0.0108</f>
        <v>1.0800000000000001E-2</v>
      </c>
      <c r="U184" s="47">
        <f t="shared" si="40"/>
        <v>3.4138000000000002</v>
      </c>
      <c r="V184" s="12">
        <v>0</v>
      </c>
      <c r="W184" s="12">
        <v>0</v>
      </c>
      <c r="X184" s="12">
        <f t="shared" si="45"/>
        <v>3.4138000000000002</v>
      </c>
      <c r="Y184" s="12">
        <v>0</v>
      </c>
      <c r="Z184" s="14">
        <f>1.05*4</f>
        <v>4.2</v>
      </c>
      <c r="AA184" s="13">
        <f t="shared" si="43"/>
        <v>0.78620000000000001</v>
      </c>
      <c r="AB184" s="47">
        <f t="shared" si="46"/>
        <v>0.78620000000000001</v>
      </c>
      <c r="AC184" s="12" t="s">
        <v>24</v>
      </c>
    </row>
    <row r="185" spans="1:29" s="1" customFormat="1" ht="22.5" x14ac:dyDescent="0.2">
      <c r="A185" s="18">
        <v>133</v>
      </c>
      <c r="B185" s="12" t="s">
        <v>194</v>
      </c>
      <c r="C185" s="69" t="s">
        <v>28</v>
      </c>
      <c r="D185" s="69">
        <v>0.52700000000000002</v>
      </c>
      <c r="E185" s="69">
        <v>0.41399999999999998</v>
      </c>
      <c r="F185" s="69"/>
      <c r="G185" s="47">
        <v>0.67</v>
      </c>
      <c r="H185" s="12">
        <v>0</v>
      </c>
      <c r="I185" s="12">
        <v>0</v>
      </c>
      <c r="J185" s="12">
        <f t="shared" si="44"/>
        <v>0.67</v>
      </c>
      <c r="K185" s="12">
        <v>0</v>
      </c>
      <c r="L185" s="14">
        <f>1.05*1.6</f>
        <v>1.6800000000000002</v>
      </c>
      <c r="M185" s="13">
        <f t="shared" si="41"/>
        <v>1.0100000000000002</v>
      </c>
      <c r="N185" s="47">
        <f t="shared" si="42"/>
        <v>1.0100000000000002</v>
      </c>
      <c r="O185" s="17" t="s">
        <v>24</v>
      </c>
      <c r="P185" s="16"/>
      <c r="Q185" s="18">
        <v>133</v>
      </c>
      <c r="R185" s="12" t="s">
        <v>194</v>
      </c>
      <c r="S185" s="15" t="s">
        <v>28</v>
      </c>
      <c r="T185" s="86">
        <f>0.021+0.005-0.0013+0.0054-0.0183</f>
        <v>1.1800000000000001E-2</v>
      </c>
      <c r="U185" s="47">
        <f t="shared" si="40"/>
        <v>0.68180000000000007</v>
      </c>
      <c r="V185" s="12">
        <v>0</v>
      </c>
      <c r="W185" s="12">
        <v>0</v>
      </c>
      <c r="X185" s="12">
        <f t="shared" si="45"/>
        <v>0.68180000000000007</v>
      </c>
      <c r="Y185" s="12">
        <v>0</v>
      </c>
      <c r="Z185" s="14">
        <f>1.05*1.6</f>
        <v>1.6800000000000002</v>
      </c>
      <c r="AA185" s="13">
        <f t="shared" si="43"/>
        <v>0.99820000000000009</v>
      </c>
      <c r="AB185" s="47">
        <f t="shared" si="46"/>
        <v>0.99820000000000009</v>
      </c>
      <c r="AC185" s="12" t="s">
        <v>24</v>
      </c>
    </row>
    <row r="186" spans="1:29" s="1" customFormat="1" ht="22.5" x14ac:dyDescent="0.2">
      <c r="A186" s="18">
        <v>134</v>
      </c>
      <c r="B186" s="12" t="s">
        <v>196</v>
      </c>
      <c r="C186" s="69" t="s">
        <v>27</v>
      </c>
      <c r="D186" s="69">
        <v>0.64300000000000002</v>
      </c>
      <c r="E186" s="69">
        <v>0.65600000000000003</v>
      </c>
      <c r="F186" s="69"/>
      <c r="G186" s="47">
        <v>0.91900000000000004</v>
      </c>
      <c r="H186" s="12">
        <v>0</v>
      </c>
      <c r="I186" s="12">
        <v>0</v>
      </c>
      <c r="J186" s="12">
        <f t="shared" si="44"/>
        <v>0.91900000000000004</v>
      </c>
      <c r="K186" s="12">
        <v>0</v>
      </c>
      <c r="L186" s="14">
        <f>1.05*2.5</f>
        <v>2.625</v>
      </c>
      <c r="M186" s="13">
        <f t="shared" si="41"/>
        <v>1.706</v>
      </c>
      <c r="N186" s="47">
        <f t="shared" si="42"/>
        <v>1.706</v>
      </c>
      <c r="O186" s="17" t="s">
        <v>24</v>
      </c>
      <c r="P186" s="16"/>
      <c r="Q186" s="18">
        <v>134</v>
      </c>
      <c r="R186" s="12" t="s">
        <v>196</v>
      </c>
      <c r="S186" s="15" t="s">
        <v>27</v>
      </c>
      <c r="T186" s="86">
        <f>0</f>
        <v>0</v>
      </c>
      <c r="U186" s="47">
        <f t="shared" si="40"/>
        <v>0.91900000000000004</v>
      </c>
      <c r="V186" s="12">
        <v>0</v>
      </c>
      <c r="W186" s="12">
        <v>0</v>
      </c>
      <c r="X186" s="12">
        <f t="shared" si="45"/>
        <v>0.91900000000000004</v>
      </c>
      <c r="Y186" s="12">
        <v>0</v>
      </c>
      <c r="Z186" s="14">
        <f>1.05*2.5</f>
        <v>2.625</v>
      </c>
      <c r="AA186" s="13">
        <f t="shared" si="43"/>
        <v>1.706</v>
      </c>
      <c r="AB186" s="47">
        <f t="shared" si="46"/>
        <v>1.706</v>
      </c>
      <c r="AC186" s="12" t="s">
        <v>24</v>
      </c>
    </row>
    <row r="187" spans="1:29" s="74" customFormat="1" ht="22.5" x14ac:dyDescent="0.2">
      <c r="A187" s="18">
        <v>135</v>
      </c>
      <c r="B187" s="18" t="s">
        <v>198</v>
      </c>
      <c r="C187" s="69" t="s">
        <v>29</v>
      </c>
      <c r="D187" s="69"/>
      <c r="E187" s="69"/>
      <c r="F187" s="69"/>
      <c r="G187" s="79">
        <v>6.452</v>
      </c>
      <c r="H187" s="18">
        <v>0</v>
      </c>
      <c r="I187" s="18">
        <v>0</v>
      </c>
      <c r="J187" s="18">
        <f t="shared" si="44"/>
        <v>6.452</v>
      </c>
      <c r="K187" s="18">
        <v>0</v>
      </c>
      <c r="L187" s="70">
        <f>1.05*6.3</f>
        <v>6.6150000000000002</v>
      </c>
      <c r="M187" s="71">
        <f t="shared" si="41"/>
        <v>0.16300000000000026</v>
      </c>
      <c r="N187" s="79">
        <f t="shared" si="42"/>
        <v>0.16300000000000026</v>
      </c>
      <c r="O187" s="97" t="s">
        <v>24</v>
      </c>
      <c r="P187" s="126"/>
      <c r="Q187" s="18">
        <v>135</v>
      </c>
      <c r="R187" s="18" t="s">
        <v>198</v>
      </c>
      <c r="S187" s="69" t="s">
        <v>29</v>
      </c>
      <c r="T187" s="108">
        <f>0</f>
        <v>0</v>
      </c>
      <c r="U187" s="79">
        <f t="shared" si="40"/>
        <v>6.452</v>
      </c>
      <c r="V187" s="18">
        <v>0</v>
      </c>
      <c r="W187" s="18">
        <v>0</v>
      </c>
      <c r="X187" s="18">
        <f t="shared" si="45"/>
        <v>6.452</v>
      </c>
      <c r="Y187" s="18">
        <v>0</v>
      </c>
      <c r="Z187" s="70">
        <f>1.05*6.3</f>
        <v>6.6150000000000002</v>
      </c>
      <c r="AA187" s="71">
        <f t="shared" si="43"/>
        <v>0.16300000000000026</v>
      </c>
      <c r="AB187" s="79">
        <f t="shared" si="46"/>
        <v>0.16300000000000026</v>
      </c>
      <c r="AC187" s="18" t="s">
        <v>24</v>
      </c>
    </row>
    <row r="188" spans="1:29" s="1" customFormat="1" ht="22.5" x14ac:dyDescent="0.2">
      <c r="A188" s="18">
        <v>136</v>
      </c>
      <c r="B188" s="12" t="s">
        <v>200</v>
      </c>
      <c r="C188" s="69" t="s">
        <v>27</v>
      </c>
      <c r="D188" s="69">
        <v>0.97</v>
      </c>
      <c r="E188" s="69">
        <v>0.45</v>
      </c>
      <c r="F188" s="69"/>
      <c r="G188" s="47">
        <v>1.069</v>
      </c>
      <c r="H188" s="12">
        <v>0</v>
      </c>
      <c r="I188" s="12">
        <v>0</v>
      </c>
      <c r="J188" s="12">
        <f t="shared" si="44"/>
        <v>1.069</v>
      </c>
      <c r="K188" s="12">
        <v>0</v>
      </c>
      <c r="L188" s="14">
        <f>1.05*2.5</f>
        <v>2.625</v>
      </c>
      <c r="M188" s="13">
        <f t="shared" si="41"/>
        <v>1.556</v>
      </c>
      <c r="N188" s="47">
        <f t="shared" si="42"/>
        <v>1.556</v>
      </c>
      <c r="O188" s="17" t="s">
        <v>24</v>
      </c>
      <c r="P188" s="16"/>
      <c r="Q188" s="18">
        <v>136</v>
      </c>
      <c r="R188" s="12" t="s">
        <v>200</v>
      </c>
      <c r="S188" s="15" t="s">
        <v>27</v>
      </c>
      <c r="T188" s="86">
        <f>0.007+0.003+0.06+0.03+0.016+0.005+0.003-0.0382+0.0161+0.0086-0.0215+0.172+0.0161+0.0035-0.1968</f>
        <v>8.3800000000000013E-2</v>
      </c>
      <c r="U188" s="47">
        <f t="shared" si="40"/>
        <v>1.1528</v>
      </c>
      <c r="V188" s="12">
        <v>0</v>
      </c>
      <c r="W188" s="12">
        <v>0</v>
      </c>
      <c r="X188" s="12">
        <f t="shared" si="45"/>
        <v>1.1528</v>
      </c>
      <c r="Y188" s="12">
        <v>0</v>
      </c>
      <c r="Z188" s="14">
        <f>1.05*2.5</f>
        <v>2.625</v>
      </c>
      <c r="AA188" s="13">
        <f t="shared" si="43"/>
        <v>1.4722</v>
      </c>
      <c r="AB188" s="47">
        <f t="shared" si="46"/>
        <v>1.4722</v>
      </c>
      <c r="AC188" s="12" t="s">
        <v>24</v>
      </c>
    </row>
    <row r="189" spans="1:29" s="1" customFormat="1" ht="22.5" x14ac:dyDescent="0.2">
      <c r="A189" s="18">
        <v>137</v>
      </c>
      <c r="B189" s="12" t="s">
        <v>201</v>
      </c>
      <c r="C189" s="69" t="s">
        <v>33</v>
      </c>
      <c r="D189" s="69">
        <v>0.70299999999999996</v>
      </c>
      <c r="E189" s="69">
        <v>0.61199999999999999</v>
      </c>
      <c r="F189" s="69"/>
      <c r="G189" s="47">
        <v>0.93200000000000005</v>
      </c>
      <c r="H189" s="12">
        <v>0</v>
      </c>
      <c r="I189" s="12">
        <v>0</v>
      </c>
      <c r="J189" s="12">
        <f t="shared" si="44"/>
        <v>0.93200000000000005</v>
      </c>
      <c r="K189" s="12">
        <v>0</v>
      </c>
      <c r="L189" s="14">
        <f>1.05*1.6</f>
        <v>1.6800000000000002</v>
      </c>
      <c r="M189" s="13">
        <f t="shared" si="41"/>
        <v>0.74800000000000011</v>
      </c>
      <c r="N189" s="47">
        <f t="shared" si="42"/>
        <v>0.74800000000000011</v>
      </c>
      <c r="O189" s="17" t="s">
        <v>24</v>
      </c>
      <c r="P189" s="16"/>
      <c r="Q189" s="18">
        <v>137</v>
      </c>
      <c r="R189" s="12" t="s">
        <v>201</v>
      </c>
      <c r="S189" s="15" t="s">
        <v>33</v>
      </c>
      <c r="T189" s="86">
        <f>0.019+0.004+0.011+0.029+0.029+0.014-0.0516+0.0108+0.0065+0.0151+0.02+0.0065+0.0194-0.0583+0.0183+0.0068-0.0419</f>
        <v>5.7600000000000019E-2</v>
      </c>
      <c r="U189" s="47">
        <f t="shared" si="40"/>
        <v>0.98960000000000004</v>
      </c>
      <c r="V189" s="12">
        <v>0</v>
      </c>
      <c r="W189" s="12">
        <v>0</v>
      </c>
      <c r="X189" s="12">
        <f t="shared" si="45"/>
        <v>0.98960000000000004</v>
      </c>
      <c r="Y189" s="12">
        <v>0</v>
      </c>
      <c r="Z189" s="14">
        <f>1.05*1.6</f>
        <v>1.6800000000000002</v>
      </c>
      <c r="AA189" s="13">
        <f t="shared" si="43"/>
        <v>0.69040000000000012</v>
      </c>
      <c r="AB189" s="47">
        <f t="shared" si="46"/>
        <v>0.69040000000000012</v>
      </c>
      <c r="AC189" s="12" t="s">
        <v>24</v>
      </c>
    </row>
    <row r="190" spans="1:29" s="1" customFormat="1" ht="22.5" x14ac:dyDescent="0.2">
      <c r="A190" s="18">
        <v>138</v>
      </c>
      <c r="B190" s="12" t="s">
        <v>202</v>
      </c>
      <c r="C190" s="69" t="s">
        <v>29</v>
      </c>
      <c r="D190" s="69">
        <v>3.4249999999999998</v>
      </c>
      <c r="E190" s="69">
        <v>2.29</v>
      </c>
      <c r="F190" s="69"/>
      <c r="G190" s="47">
        <v>4.12</v>
      </c>
      <c r="H190" s="12">
        <v>0</v>
      </c>
      <c r="I190" s="12">
        <v>0</v>
      </c>
      <c r="J190" s="12">
        <f t="shared" si="44"/>
        <v>4.12</v>
      </c>
      <c r="K190" s="12">
        <v>0</v>
      </c>
      <c r="L190" s="14">
        <f>1.05*6.3</f>
        <v>6.6150000000000002</v>
      </c>
      <c r="M190" s="13">
        <f t="shared" si="41"/>
        <v>2.4950000000000001</v>
      </c>
      <c r="N190" s="47">
        <f t="shared" si="42"/>
        <v>2.4950000000000001</v>
      </c>
      <c r="O190" s="17" t="s">
        <v>24</v>
      </c>
      <c r="P190" s="16"/>
      <c r="Q190" s="18">
        <v>138</v>
      </c>
      <c r="R190" s="12" t="s">
        <v>202</v>
      </c>
      <c r="S190" s="15" t="s">
        <v>29</v>
      </c>
      <c r="T190" s="86">
        <f>0.08+0.005+0.001+0.017+0.011+0.023+0.143+0.0247+0.0054-0.078+0.0199+0.0237+0.0054+0.0032+0.0065+0.019353-0.0995+0.0065+0.0065+0.0129+0.0194+0.0151+0.0054-0.0747+0.0054</f>
        <v>0.207153</v>
      </c>
      <c r="U190" s="47">
        <f t="shared" si="40"/>
        <v>4.327153</v>
      </c>
      <c r="V190" s="12">
        <v>0</v>
      </c>
      <c r="W190" s="12">
        <v>0</v>
      </c>
      <c r="X190" s="12">
        <f t="shared" si="45"/>
        <v>4.327153</v>
      </c>
      <c r="Y190" s="12">
        <v>0</v>
      </c>
      <c r="Z190" s="14">
        <f>1.05*6.3</f>
        <v>6.6150000000000002</v>
      </c>
      <c r="AA190" s="13">
        <f t="shared" si="43"/>
        <v>2.2878470000000002</v>
      </c>
      <c r="AB190" s="47">
        <f t="shared" si="46"/>
        <v>2.2878470000000002</v>
      </c>
      <c r="AC190" s="12" t="s">
        <v>24</v>
      </c>
    </row>
    <row r="191" spans="1:29" s="1" customFormat="1" ht="22.5" x14ac:dyDescent="0.2">
      <c r="A191" s="18">
        <v>139</v>
      </c>
      <c r="B191" s="12" t="s">
        <v>203</v>
      </c>
      <c r="C191" s="69" t="s">
        <v>28</v>
      </c>
      <c r="D191" s="69">
        <v>0.442</v>
      </c>
      <c r="E191" s="69">
        <v>0.41799999999999998</v>
      </c>
      <c r="F191" s="69"/>
      <c r="G191" s="47">
        <v>0.60799999999999998</v>
      </c>
      <c r="H191" s="12">
        <v>0</v>
      </c>
      <c r="I191" s="12">
        <v>0</v>
      </c>
      <c r="J191" s="12">
        <f t="shared" si="44"/>
        <v>0.60799999999999998</v>
      </c>
      <c r="K191" s="12">
        <v>0</v>
      </c>
      <c r="L191" s="14">
        <f>1.05*1.6</f>
        <v>1.6800000000000002</v>
      </c>
      <c r="M191" s="13">
        <f t="shared" si="41"/>
        <v>1.0720000000000001</v>
      </c>
      <c r="N191" s="47">
        <f t="shared" si="42"/>
        <v>1.0720000000000001</v>
      </c>
      <c r="O191" s="17" t="s">
        <v>24</v>
      </c>
      <c r="P191" s="16"/>
      <c r="Q191" s="18">
        <v>139</v>
      </c>
      <c r="R191" s="12" t="s">
        <v>203</v>
      </c>
      <c r="S191" s="15" t="s">
        <v>28</v>
      </c>
      <c r="T191" s="86">
        <f>0+0.0054</f>
        <v>5.4000000000000003E-3</v>
      </c>
      <c r="U191" s="47">
        <f t="shared" si="40"/>
        <v>0.61339999999999995</v>
      </c>
      <c r="V191" s="12">
        <v>0</v>
      </c>
      <c r="W191" s="12">
        <v>0</v>
      </c>
      <c r="X191" s="12">
        <f t="shared" si="45"/>
        <v>0.61339999999999995</v>
      </c>
      <c r="Y191" s="12">
        <v>0</v>
      </c>
      <c r="Z191" s="14">
        <f>1.05*1.6</f>
        <v>1.6800000000000002</v>
      </c>
      <c r="AA191" s="13">
        <f t="shared" si="43"/>
        <v>1.0666000000000002</v>
      </c>
      <c r="AB191" s="47">
        <f t="shared" si="46"/>
        <v>1.0666000000000002</v>
      </c>
      <c r="AC191" s="12" t="s">
        <v>24</v>
      </c>
    </row>
    <row r="192" spans="1:29" s="1" customFormat="1" ht="22.5" x14ac:dyDescent="0.2">
      <c r="A192" s="18">
        <v>140</v>
      </c>
      <c r="B192" s="12" t="s">
        <v>204</v>
      </c>
      <c r="C192" s="69" t="s">
        <v>27</v>
      </c>
      <c r="D192" s="69">
        <v>0.65100000000000002</v>
      </c>
      <c r="E192" s="69">
        <v>0.127</v>
      </c>
      <c r="F192" s="69"/>
      <c r="G192" s="47">
        <v>0.66300000000000003</v>
      </c>
      <c r="H192" s="12">
        <v>0</v>
      </c>
      <c r="I192" s="12">
        <v>0</v>
      </c>
      <c r="J192" s="12">
        <f t="shared" si="44"/>
        <v>0.66300000000000003</v>
      </c>
      <c r="K192" s="12">
        <v>0</v>
      </c>
      <c r="L192" s="14">
        <f>1.05*2.5</f>
        <v>2.625</v>
      </c>
      <c r="M192" s="13">
        <f t="shared" si="41"/>
        <v>1.962</v>
      </c>
      <c r="N192" s="47">
        <f t="shared" si="42"/>
        <v>1.962</v>
      </c>
      <c r="O192" s="17" t="s">
        <v>24</v>
      </c>
      <c r="P192" s="16"/>
      <c r="Q192" s="18">
        <v>140</v>
      </c>
      <c r="R192" s="12" t="s">
        <v>204</v>
      </c>
      <c r="S192" s="15" t="s">
        <v>27</v>
      </c>
      <c r="T192" s="86">
        <f>0.015+0.008+0.376+0.0039-0.3892+0.016-0.0065+0.0019-0.0161</f>
        <v>9.0000000000000462E-3</v>
      </c>
      <c r="U192" s="47">
        <f t="shared" si="40"/>
        <v>0.67200000000000004</v>
      </c>
      <c r="V192" s="12">
        <v>0</v>
      </c>
      <c r="W192" s="12">
        <v>0</v>
      </c>
      <c r="X192" s="12">
        <f t="shared" si="45"/>
        <v>0.67200000000000004</v>
      </c>
      <c r="Y192" s="12">
        <v>0</v>
      </c>
      <c r="Z192" s="14">
        <f>1.05*2.5</f>
        <v>2.625</v>
      </c>
      <c r="AA192" s="13">
        <f t="shared" si="43"/>
        <v>1.9529999999999998</v>
      </c>
      <c r="AB192" s="47">
        <f t="shared" si="46"/>
        <v>1.9529999999999998</v>
      </c>
      <c r="AC192" s="12" t="s">
        <v>24</v>
      </c>
    </row>
    <row r="193" spans="1:29" s="1" customFormat="1" ht="22.5" x14ac:dyDescent="0.2">
      <c r="A193" s="18">
        <v>141</v>
      </c>
      <c r="B193" s="12" t="s">
        <v>205</v>
      </c>
      <c r="C193" s="69" t="s">
        <v>50</v>
      </c>
      <c r="D193" s="69">
        <v>5.9930000000000003</v>
      </c>
      <c r="E193" s="69">
        <v>2.6269999999999998</v>
      </c>
      <c r="F193" s="69"/>
      <c r="G193" s="47">
        <v>6.5430000000000001</v>
      </c>
      <c r="H193" s="12">
        <v>0</v>
      </c>
      <c r="I193" s="12">
        <v>0</v>
      </c>
      <c r="J193" s="12">
        <f t="shared" si="44"/>
        <v>6.5430000000000001</v>
      </c>
      <c r="K193" s="12">
        <v>0</v>
      </c>
      <c r="L193" s="14">
        <f>1.05*7.2</f>
        <v>7.5600000000000005</v>
      </c>
      <c r="M193" s="13">
        <f t="shared" si="41"/>
        <v>1.0170000000000003</v>
      </c>
      <c r="N193" s="47">
        <f t="shared" si="42"/>
        <v>1.0170000000000003</v>
      </c>
      <c r="O193" s="17" t="s">
        <v>24</v>
      </c>
      <c r="P193" s="16"/>
      <c r="Q193" s="18">
        <v>141</v>
      </c>
      <c r="R193" s="12" t="s">
        <v>205</v>
      </c>
      <c r="S193" s="15" t="s">
        <v>50</v>
      </c>
      <c r="T193" s="86">
        <f>0.039+0.031+0.005+0.005+0.01+0.005+0.0048+0.0048+0.0048+0.007+0.0145+0.0161-0.0194+0.0048+0.0323+0.0032+0.0161+0.0181-0.0452</f>
        <v>0.15690000000000004</v>
      </c>
      <c r="U193" s="47">
        <f t="shared" si="40"/>
        <v>6.6999000000000004</v>
      </c>
      <c r="V193" s="12">
        <v>0</v>
      </c>
      <c r="W193" s="12">
        <v>0</v>
      </c>
      <c r="X193" s="12">
        <f t="shared" si="45"/>
        <v>6.6999000000000004</v>
      </c>
      <c r="Y193" s="12">
        <v>0</v>
      </c>
      <c r="Z193" s="14">
        <f>1.05*7.2</f>
        <v>7.5600000000000005</v>
      </c>
      <c r="AA193" s="13">
        <f t="shared" si="43"/>
        <v>0.86010000000000009</v>
      </c>
      <c r="AB193" s="47">
        <f t="shared" si="46"/>
        <v>0.86010000000000009</v>
      </c>
      <c r="AC193" s="12" t="s">
        <v>24</v>
      </c>
    </row>
    <row r="194" spans="1:29" s="1" customFormat="1" ht="22.5" x14ac:dyDescent="0.2">
      <c r="A194" s="18">
        <v>142</v>
      </c>
      <c r="B194" s="12" t="s">
        <v>208</v>
      </c>
      <c r="C194" s="69" t="s">
        <v>27</v>
      </c>
      <c r="D194" s="69">
        <v>0.71599999999999997</v>
      </c>
      <c r="E194" s="69">
        <v>0.307</v>
      </c>
      <c r="F194" s="69"/>
      <c r="G194" s="47">
        <v>0.77900000000000003</v>
      </c>
      <c r="H194" s="12">
        <v>0</v>
      </c>
      <c r="I194" s="12">
        <v>0</v>
      </c>
      <c r="J194" s="12">
        <f t="shared" si="44"/>
        <v>0.77900000000000003</v>
      </c>
      <c r="K194" s="12">
        <v>0</v>
      </c>
      <c r="L194" s="14">
        <f>1.05*2.5</f>
        <v>2.625</v>
      </c>
      <c r="M194" s="13">
        <f t="shared" si="41"/>
        <v>1.8460000000000001</v>
      </c>
      <c r="N194" s="47">
        <f t="shared" si="42"/>
        <v>1.8460000000000001</v>
      </c>
      <c r="O194" s="17" t="s">
        <v>24</v>
      </c>
      <c r="P194" s="16"/>
      <c r="Q194" s="18">
        <v>142</v>
      </c>
      <c r="R194" s="12" t="s">
        <v>208</v>
      </c>
      <c r="S194" s="15" t="s">
        <v>27</v>
      </c>
      <c r="T194" s="86">
        <f>0.026+0.01+0.002+0.003+0.019+0.0161-0.0081+0.0065+0.0077+0.0065+0.038707-0.0286+0.0004-0.0651</f>
        <v>3.4107000000000012E-2</v>
      </c>
      <c r="U194" s="47">
        <f t="shared" si="40"/>
        <v>0.81310700000000002</v>
      </c>
      <c r="V194" s="12">
        <v>0</v>
      </c>
      <c r="W194" s="12">
        <v>0</v>
      </c>
      <c r="X194" s="12">
        <f t="shared" si="45"/>
        <v>0.81310700000000002</v>
      </c>
      <c r="Y194" s="12">
        <v>0</v>
      </c>
      <c r="Z194" s="14">
        <f>1.05*2.5</f>
        <v>2.625</v>
      </c>
      <c r="AA194" s="13">
        <f t="shared" si="43"/>
        <v>1.811893</v>
      </c>
      <c r="AB194" s="47">
        <f t="shared" si="46"/>
        <v>1.811893</v>
      </c>
      <c r="AC194" s="12" t="s">
        <v>24</v>
      </c>
    </row>
    <row r="195" spans="1:29" s="1" customFormat="1" ht="22.5" x14ac:dyDescent="0.2">
      <c r="A195" s="18">
        <v>143</v>
      </c>
      <c r="B195" s="12" t="s">
        <v>209</v>
      </c>
      <c r="C195" s="69" t="s">
        <v>27</v>
      </c>
      <c r="D195" s="69">
        <v>0.94399999999999995</v>
      </c>
      <c r="E195" s="69">
        <v>0.49</v>
      </c>
      <c r="F195" s="69"/>
      <c r="G195" s="47">
        <v>1.0640000000000001</v>
      </c>
      <c r="H195" s="12">
        <v>0</v>
      </c>
      <c r="I195" s="12">
        <v>0</v>
      </c>
      <c r="J195" s="12">
        <f t="shared" si="44"/>
        <v>1.0640000000000001</v>
      </c>
      <c r="K195" s="12">
        <v>0</v>
      </c>
      <c r="L195" s="14">
        <f>1.05*2.5</f>
        <v>2.625</v>
      </c>
      <c r="M195" s="13">
        <f t="shared" si="41"/>
        <v>1.5609999999999999</v>
      </c>
      <c r="N195" s="47">
        <f t="shared" si="42"/>
        <v>1.5609999999999999</v>
      </c>
      <c r="O195" s="17" t="s">
        <v>24</v>
      </c>
      <c r="P195" s="16"/>
      <c r="Q195" s="18">
        <v>143</v>
      </c>
      <c r="R195" s="12" t="s">
        <v>209</v>
      </c>
      <c r="S195" s="15" t="s">
        <v>27</v>
      </c>
      <c r="T195" s="86">
        <f>0.033+0.008+0.015+0.014+0.004+0.0054+0.0161-0.0296+0.0032+0.0054-0.0441+0.0161+0.0013+0.0022+0.0185-0.0312+0.0185+0.004</f>
        <v>5.980000000000002E-2</v>
      </c>
      <c r="U195" s="47">
        <f t="shared" si="40"/>
        <v>1.1238000000000001</v>
      </c>
      <c r="V195" s="12">
        <v>0</v>
      </c>
      <c r="W195" s="12">
        <v>0</v>
      </c>
      <c r="X195" s="12">
        <f t="shared" si="45"/>
        <v>1.1238000000000001</v>
      </c>
      <c r="Y195" s="12">
        <v>0</v>
      </c>
      <c r="Z195" s="14">
        <f>1.05*2.5</f>
        <v>2.625</v>
      </c>
      <c r="AA195" s="13">
        <f t="shared" si="43"/>
        <v>1.5011999999999999</v>
      </c>
      <c r="AB195" s="47">
        <f t="shared" si="46"/>
        <v>1.5011999999999999</v>
      </c>
      <c r="AC195" s="12" t="s">
        <v>24</v>
      </c>
    </row>
    <row r="196" spans="1:29" s="1" customFormat="1" ht="11.25" hidden="1" x14ac:dyDescent="0.2">
      <c r="A196" s="197"/>
      <c r="B196" s="8" t="s">
        <v>43</v>
      </c>
      <c r="C196" s="94">
        <f>SUM(C11:C16)+C7+C8+C17+C20+C23+SUM(C26:C48)+80+12.6+'Интерактивная карта'!C862+12.6+32+10.3+103+32+50+16+25+20+50+50+16+25+20+26+32+6.3+2.5+16+16+26+20+6.3+6.3+32+40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+0.3-1.6+4</f>
        <v>2247.8999999999983</v>
      </c>
      <c r="D196" s="94"/>
      <c r="E196" s="94"/>
      <c r="F196" s="94"/>
      <c r="G196" s="44">
        <f>G7+G8+G11+G12+G13+G14+G15+G16+G17+G20+G23+G26+G27+G28+G29+G30+G31+G32+G33+G34+G35+G36+G37+G38+G39+G40+G41+G42+G43+G44+G45+G46+G47+G48+G49+G52+G54+G53+G56+G60+G63+G66+G69+G70+G73+G74+G75+G76+G79+G82+G83+G84+G87+G88+G89+G90+G91+G92+G93+G94+G97+G98+G99+G100+G101+G104+G105+G106+G107+G110+G113+G114+G117+G120+G121+G124+G125+G128+G129+G130+G133+G134+G135+G136+G137+G138+G139+G140+G141+G142+G143+G144+G145+G146+G147+G148+G149+G151+G150+G152+G153+G154+G155+G156+G157+G158+G159+G160+G161+G162+G163+G164+G165+G166+G167+G168+G169+G170+G171+G172+G173+G174+G175+G176+G177+G178+G179+G180+G181+G182+G183+G184+G185+G186+G187+G188+G189+G190+G191+G192+G193+G194+G195+G57+G55</f>
        <v>736.99099999999976</v>
      </c>
      <c r="H196" s="9"/>
      <c r="I196" s="9"/>
      <c r="J196" s="9"/>
      <c r="K196" s="9"/>
      <c r="L196" s="9"/>
      <c r="M196" s="9"/>
      <c r="N196" s="44"/>
      <c r="O196" s="11"/>
      <c r="P196" s="10"/>
      <c r="Q196" s="161"/>
      <c r="R196" s="240" t="s">
        <v>43</v>
      </c>
      <c r="S196" s="9">
        <f>C196</f>
        <v>2247.8999999999983</v>
      </c>
      <c r="T196" s="89">
        <f>T7+T8+T11+T12+T13+T14+T15+T16+T17+T20+T23+T26+T27+T28+T29+T30+T31+T32+T33+T34+T35+T36+T37+T38+T39+T40+T41+T42+T43+T44+T45+T46+T47+T48+T49+T52+T54+T53+T56+T60+T63+T66+T69+T70+T73+T74+T75+T76+T79+T82+T83+T84+T87+T88+T89+T90+T91+T92+T93+T94+T97+T98+T99+T100+T101+T104+T105+T106+T107+T110+T113+T114+T117+T120+T121+T124+T125+T128+T129+T130+T133+T134+T135+T136+T137+T138+T139+T140+T141+T142+T143+T144+T145+T146+T147+T148+T149+T151+T150+T152+T153+T154+T155+T156+T157+T158+T159+T160+T161+T162+T163+T164+T165+T166+T167+T168+T169+T170+T171+T172+T173+T174+T175+T176+T177+T178+T179+T180+T181+T182+T183+T184+T185+T186+T187+T188+T189+T190+T191+T192+T193+T194+T195+T57+T55</f>
        <v>123.48345389999999</v>
      </c>
      <c r="U196" s="44">
        <f>U7+U8+U11+U12+U13+U14+U15+U16+U17+U20+U23+U26+U27+U28+U29+U30+U31+U32+U33+U34+U35+U36+U37+U38+U39+U40+U41+U42+U43+U44+U45+U46+U47+U48+U49+U52+U54+U53+U56+U60+U63+U66+U69+U70+U73+U74+U75+U76+U79+U82+U83+U84+U87+U88+U89+U90+U91+U92+U93+U94+U97+U98+U99+U100+U101+U104+U105+U106+U107+U110+U113+U114+U117+U120+U121+U124+U125+U128+U129+U130+U133+U134+U135+U136+U137+U138+U139+U140+U141+U142+U143+U144+U145+U146+U147+U148+U149+U151+U150+U152+U153+U154+U155+U156+U157+U158+U159+U160+U161+U162+U163+U164+U165+U166+U167+U168+U169+U170+U171+U172+U173+U174+U175+U176+U177+U178+U179+U180+U181+U182+U183+U184+U185+U186+U187+U188+U189+U190+U191+U192+U193+U194+U195+U57+U55</f>
        <v>860.54345390000015</v>
      </c>
      <c r="V196" s="9"/>
      <c r="W196" s="9"/>
      <c r="X196" s="9"/>
      <c r="Y196" s="9"/>
      <c r="Z196" s="9"/>
      <c r="AA196" s="9"/>
      <c r="AB196" s="44"/>
      <c r="AC196" s="8"/>
    </row>
    <row r="197" spans="1:29" s="1" customFormat="1" ht="11.25" hidden="1" x14ac:dyDescent="0.2">
      <c r="A197" s="198"/>
      <c r="B197" s="8" t="s">
        <v>13</v>
      </c>
      <c r="C197" s="94"/>
      <c r="D197" s="94"/>
      <c r="E197" s="94"/>
      <c r="F197" s="94"/>
      <c r="G197" s="9"/>
      <c r="H197" s="9"/>
      <c r="I197" s="9"/>
      <c r="J197" s="9"/>
      <c r="K197" s="9"/>
      <c r="L197" s="9"/>
      <c r="M197" s="9"/>
      <c r="N197" s="89">
        <f>N53+N55+N63+N75+N106+N139+N141+N56+N57+N13+N125</f>
        <v>-30.242999999999988</v>
      </c>
      <c r="O197" s="11"/>
      <c r="P197" s="10"/>
      <c r="Q197" s="162"/>
      <c r="R197" s="240" t="s">
        <v>13</v>
      </c>
      <c r="S197" s="9"/>
      <c r="T197" s="9"/>
      <c r="U197" s="9"/>
      <c r="V197" s="9"/>
      <c r="W197" s="9"/>
      <c r="X197" s="9"/>
      <c r="Y197" s="9"/>
      <c r="Z197" s="9"/>
      <c r="AA197" s="9"/>
      <c r="AB197" s="89">
        <f>AB53+AB55+AB63+AB75+AB106+AB139+AB141+AB56+AB57+AB13+AB125</f>
        <v>-65.401281000000012</v>
      </c>
      <c r="AC197" s="8"/>
    </row>
    <row r="198" spans="1:29" s="1" customFormat="1" ht="11.25" hidden="1" x14ac:dyDescent="0.2">
      <c r="A198" s="199"/>
      <c r="B198" s="8" t="s">
        <v>14</v>
      </c>
      <c r="C198" s="94"/>
      <c r="D198" s="94"/>
      <c r="E198" s="94"/>
      <c r="F198" s="94"/>
      <c r="G198" s="9"/>
      <c r="H198" s="9"/>
      <c r="I198" s="9"/>
      <c r="J198" s="9"/>
      <c r="K198" s="9"/>
      <c r="L198" s="9"/>
      <c r="M198" s="9"/>
      <c r="N198" s="89">
        <f>N49+N52+N54+N60+N66+N69+N70+N74+N76+N79+N82+N84+N87+N88+N89+N91+N92+N93+N94+N98+N99+N100+N101+N104+N105+N107+N110+N113+N114+N117+N120+N121+N128+N129+N130+N133+N134+N135+N136+N137+N138+N140+N142+N143+N144+N145+N146+N147+N148+N149+N150+N151+N152+N153+N154+N155+N156+N157+N158+N159+N160+N161+N163+N164+N165+N167+N168+N169+N170+N171+N172+N173+N174+N175+N176+N177+N178+N179+N180+N181+N182+N183+N184+N185+N186+N187+N188+N189+N190+N191+N192+N193+N194+N195+N73+SUM(N7:N12)+SUM(N14:N48)+N83+N97+N124+N162</f>
        <v>542.07500000000027</v>
      </c>
      <c r="O198" s="11"/>
      <c r="P198" s="10"/>
      <c r="Q198" s="163"/>
      <c r="R198" s="240" t="s">
        <v>14</v>
      </c>
      <c r="S198" s="9"/>
      <c r="T198" s="9"/>
      <c r="U198" s="9"/>
      <c r="V198" s="9"/>
      <c r="W198" s="9"/>
      <c r="X198" s="9"/>
      <c r="Y198" s="9"/>
      <c r="Z198" s="9"/>
      <c r="AA198" s="9"/>
      <c r="AB198" s="89">
        <f>AB49+AB52+AB54+AB60+AB66+AB69+AB70+AB74+AB76+AB79+AB82+AB84+AB87+AB88+AB89+AB91+AB92+AB93+AB94+AB98+AB99+AB100+AB101+AB104+AB105+AB107+AB110+AB113+AB114+AB117+AB120+AB121+AB128+AB129+AB130+AB133+AB134+AB135+AB136+AB137+AB138+AB140+AB142+AB143+AB144+AB145+AB146+AB147+AB148+AB149+AB150+AB151+AB152+AB153+AB154+AB155+AB156+AB157+AB158+AB159+AB160+AB161+AB163+AB164+AB165+AB167+AB168+AB169+AB170+AB171+AB172+AB173+AB174+AB175+AB176+AB177+AB178+AB179+AB180+AB181+AB182+AB183+AB184+AB185+AB186+AB187+AB188+AB189+AB190+AB191+AB192+AB193+AB194+AB195+AB73+SUM(AB7:AB12)+SUM(AB14:AB48)+AB83+AB97+AB124+AB162</f>
        <v>485.52102199999985</v>
      </c>
      <c r="AC198" s="8"/>
    </row>
    <row r="199" spans="1:29" s="1" customFormat="1" ht="11.25" x14ac:dyDescent="0.2">
      <c r="A199" s="74"/>
      <c r="C199" s="74"/>
      <c r="D199" s="74"/>
      <c r="E199" s="74"/>
      <c r="F199" s="74"/>
      <c r="R199" s="239"/>
      <c r="S199" s="239"/>
      <c r="T199" s="241"/>
      <c r="U199" s="239"/>
      <c r="V199" s="239"/>
    </row>
    <row r="200" spans="1:29" s="1" customFormat="1" ht="11.25" x14ac:dyDescent="0.2">
      <c r="A200" s="74"/>
      <c r="C200" s="74"/>
      <c r="D200" s="74"/>
      <c r="E200" s="74"/>
      <c r="F200" s="74"/>
      <c r="N200" s="103"/>
      <c r="R200" s="239"/>
      <c r="S200" s="239"/>
      <c r="T200" s="241"/>
      <c r="U200" s="239"/>
      <c r="V200" s="239"/>
      <c r="AB200" s="103"/>
    </row>
    <row r="201" spans="1:29" s="1" customFormat="1" x14ac:dyDescent="0.25">
      <c r="A201" s="74"/>
      <c r="C201" s="74"/>
      <c r="D201" s="74"/>
      <c r="E201" s="74"/>
      <c r="F201" s="74"/>
      <c r="H201" s="103"/>
      <c r="I201" s="46"/>
      <c r="N201" s="103"/>
      <c r="R201" s="239"/>
      <c r="S201" s="239"/>
      <c r="T201" s="241"/>
      <c r="U201" s="241"/>
      <c r="V201" s="239"/>
      <c r="AB201" s="7"/>
    </row>
    <row r="202" spans="1:29" s="1" customFormat="1" ht="11.25" x14ac:dyDescent="0.2">
      <c r="A202" s="74"/>
      <c r="C202" s="74"/>
      <c r="D202" s="74"/>
      <c r="E202" s="74"/>
      <c r="F202" s="74"/>
      <c r="R202" s="239"/>
      <c r="S202" s="239"/>
      <c r="T202" s="239"/>
      <c r="U202" s="239"/>
      <c r="V202" s="239"/>
    </row>
    <row r="203" spans="1:29" s="1" customFormat="1" ht="11.25" x14ac:dyDescent="0.2">
      <c r="A203" s="74"/>
      <c r="C203" s="74"/>
      <c r="D203" s="74"/>
      <c r="E203" s="74"/>
      <c r="F203" s="74"/>
      <c r="R203" s="239"/>
      <c r="S203" s="239"/>
      <c r="T203" s="239"/>
      <c r="U203" s="239"/>
      <c r="V203" s="239"/>
    </row>
    <row r="204" spans="1:29" s="1" customFormat="1" ht="11.25" x14ac:dyDescent="0.2">
      <c r="A204" s="74"/>
      <c r="C204" s="74"/>
      <c r="D204" s="74"/>
      <c r="E204" s="74"/>
      <c r="F204" s="74"/>
      <c r="R204" s="239"/>
      <c r="S204" s="239"/>
      <c r="T204" s="239"/>
      <c r="U204" s="239"/>
      <c r="V204" s="239"/>
    </row>
    <row r="205" spans="1:29" s="1" customFormat="1" ht="11.25" x14ac:dyDescent="0.2">
      <c r="A205" s="74"/>
      <c r="C205" s="74"/>
      <c r="D205" s="74"/>
      <c r="E205" s="74"/>
      <c r="F205" s="74"/>
      <c r="R205" s="239"/>
      <c r="S205" s="239"/>
      <c r="T205" s="239"/>
      <c r="U205" s="239"/>
      <c r="V205" s="239"/>
    </row>
    <row r="206" spans="1:29" s="1" customFormat="1" ht="11.25" x14ac:dyDescent="0.2">
      <c r="A206" s="74"/>
      <c r="C206" s="74"/>
      <c r="D206" s="74"/>
      <c r="E206" s="74"/>
      <c r="F206" s="74"/>
      <c r="R206" s="239"/>
      <c r="S206" s="239"/>
      <c r="T206" s="239"/>
      <c r="U206" s="239"/>
      <c r="V206" s="239"/>
    </row>
    <row r="207" spans="1:29" s="1" customFormat="1" ht="11.25" x14ac:dyDescent="0.2">
      <c r="A207" s="74"/>
      <c r="C207" s="74"/>
      <c r="D207" s="74"/>
      <c r="E207" s="74"/>
      <c r="F207" s="74"/>
      <c r="R207" s="239"/>
      <c r="S207" s="239"/>
      <c r="T207" s="239"/>
      <c r="U207" s="239"/>
      <c r="V207" s="239"/>
    </row>
    <row r="208" spans="1:29" s="1" customFormat="1" ht="11.25" x14ac:dyDescent="0.2">
      <c r="A208" s="74"/>
      <c r="C208" s="74"/>
      <c r="D208" s="74"/>
      <c r="E208" s="74"/>
      <c r="F208" s="74"/>
      <c r="R208" s="239"/>
      <c r="S208" s="239"/>
      <c r="T208" s="239"/>
      <c r="U208" s="239"/>
      <c r="V208" s="239"/>
    </row>
    <row r="209" spans="1:22" s="1" customFormat="1" ht="11.25" x14ac:dyDescent="0.2">
      <c r="A209" s="74"/>
      <c r="C209" s="74"/>
      <c r="D209" s="74"/>
      <c r="E209" s="74"/>
      <c r="F209" s="74"/>
      <c r="R209" s="239"/>
      <c r="S209" s="239"/>
      <c r="T209" s="239"/>
      <c r="U209" s="239"/>
      <c r="V209" s="239"/>
    </row>
    <row r="210" spans="1:22" s="1" customFormat="1" ht="11.25" x14ac:dyDescent="0.2">
      <c r="A210" s="74"/>
      <c r="C210" s="74"/>
      <c r="D210" s="74"/>
      <c r="E210" s="74"/>
      <c r="F210" s="74"/>
      <c r="R210" s="239"/>
      <c r="S210" s="239"/>
      <c r="T210" s="239"/>
      <c r="U210" s="239"/>
      <c r="V210" s="239"/>
    </row>
    <row r="211" spans="1:22" s="1" customFormat="1" ht="11.25" x14ac:dyDescent="0.2">
      <c r="A211" s="74"/>
      <c r="C211" s="74"/>
      <c r="D211" s="74"/>
      <c r="E211" s="74"/>
      <c r="F211" s="74"/>
      <c r="R211" s="239"/>
      <c r="S211" s="239"/>
      <c r="T211" s="239"/>
      <c r="U211" s="239"/>
      <c r="V211" s="239"/>
    </row>
    <row r="212" spans="1:22" s="1" customFormat="1" ht="11.25" x14ac:dyDescent="0.2">
      <c r="A212" s="74"/>
      <c r="C212" s="74"/>
      <c r="D212" s="74"/>
      <c r="E212" s="74"/>
      <c r="F212" s="74"/>
      <c r="R212" s="239"/>
      <c r="S212" s="239"/>
      <c r="T212" s="239"/>
      <c r="U212" s="239"/>
      <c r="V212" s="239"/>
    </row>
    <row r="213" spans="1:22" s="1" customFormat="1" ht="11.25" x14ac:dyDescent="0.2">
      <c r="A213" s="74"/>
      <c r="C213" s="74"/>
      <c r="D213" s="74"/>
      <c r="E213" s="74"/>
      <c r="F213" s="74"/>
      <c r="R213" s="239"/>
      <c r="S213" s="239"/>
      <c r="T213" s="239"/>
      <c r="U213" s="239"/>
      <c r="V213" s="239"/>
    </row>
    <row r="214" spans="1:22" s="1" customFormat="1" ht="11.25" x14ac:dyDescent="0.2">
      <c r="A214" s="74"/>
      <c r="C214" s="74"/>
      <c r="D214" s="74"/>
      <c r="E214" s="74"/>
      <c r="F214" s="74"/>
      <c r="R214" s="239"/>
      <c r="S214" s="239"/>
      <c r="T214" s="239"/>
      <c r="U214" s="239"/>
      <c r="V214" s="239"/>
    </row>
    <row r="215" spans="1:22" s="1" customFormat="1" ht="11.25" x14ac:dyDescent="0.2">
      <c r="A215" s="74"/>
      <c r="C215" s="74"/>
      <c r="D215" s="74"/>
      <c r="E215" s="74"/>
      <c r="F215" s="74"/>
      <c r="R215" s="239"/>
      <c r="S215" s="239"/>
      <c r="T215" s="239"/>
      <c r="U215" s="239"/>
      <c r="V215" s="239"/>
    </row>
    <row r="216" spans="1:22" s="1" customFormat="1" ht="11.25" x14ac:dyDescent="0.2">
      <c r="A216" s="74"/>
      <c r="C216" s="74"/>
      <c r="D216" s="74"/>
      <c r="E216" s="74"/>
      <c r="F216" s="74"/>
      <c r="R216" s="239"/>
      <c r="S216" s="239"/>
      <c r="T216" s="239"/>
      <c r="U216" s="239"/>
      <c r="V216" s="239"/>
    </row>
    <row r="217" spans="1:22" s="1" customFormat="1" ht="11.25" x14ac:dyDescent="0.2">
      <c r="A217" s="74"/>
      <c r="C217" s="74"/>
      <c r="D217" s="74"/>
      <c r="E217" s="74"/>
      <c r="F217" s="74"/>
      <c r="R217" s="239"/>
      <c r="S217" s="239"/>
      <c r="T217" s="239"/>
      <c r="U217" s="239"/>
      <c r="V217" s="239"/>
    </row>
    <row r="218" spans="1:22" s="1" customFormat="1" ht="11.25" x14ac:dyDescent="0.2">
      <c r="A218" s="74"/>
      <c r="C218" s="74"/>
      <c r="D218" s="74"/>
      <c r="E218" s="74"/>
      <c r="F218" s="74"/>
      <c r="R218" s="239"/>
      <c r="S218" s="239"/>
      <c r="T218" s="239"/>
      <c r="U218" s="239"/>
      <c r="V218" s="239"/>
    </row>
    <row r="219" spans="1:22" s="1" customFormat="1" ht="11.25" x14ac:dyDescent="0.2">
      <c r="A219" s="74"/>
      <c r="C219" s="74"/>
      <c r="D219" s="74"/>
      <c r="E219" s="74"/>
      <c r="F219" s="74"/>
      <c r="R219" s="239"/>
      <c r="S219" s="239"/>
      <c r="T219" s="239"/>
      <c r="U219" s="239"/>
      <c r="V219" s="239"/>
    </row>
    <row r="220" spans="1:22" s="1" customFormat="1" ht="11.25" x14ac:dyDescent="0.2">
      <c r="A220" s="74"/>
      <c r="C220" s="74"/>
      <c r="D220" s="74"/>
      <c r="E220" s="74"/>
      <c r="F220" s="74"/>
      <c r="R220" s="239"/>
      <c r="S220" s="239"/>
      <c r="T220" s="239"/>
      <c r="U220" s="239"/>
      <c r="V220" s="239"/>
    </row>
    <row r="221" spans="1:22" s="1" customFormat="1" ht="11.25" x14ac:dyDescent="0.2">
      <c r="A221" s="74"/>
      <c r="C221" s="74"/>
      <c r="D221" s="74"/>
      <c r="E221" s="74"/>
      <c r="F221" s="74"/>
      <c r="R221" s="239"/>
      <c r="S221" s="239"/>
      <c r="T221" s="239"/>
      <c r="U221" s="239"/>
      <c r="V221" s="239"/>
    </row>
    <row r="222" spans="1:22" s="1" customFormat="1" ht="11.25" x14ac:dyDescent="0.2">
      <c r="A222" s="74"/>
      <c r="C222" s="74"/>
      <c r="D222" s="74"/>
      <c r="E222" s="74"/>
      <c r="F222" s="74"/>
      <c r="R222" s="239"/>
      <c r="S222" s="239"/>
      <c r="T222" s="239"/>
      <c r="U222" s="239"/>
      <c r="V222" s="239"/>
    </row>
    <row r="223" spans="1:22" s="1" customFormat="1" ht="11.25" x14ac:dyDescent="0.2">
      <c r="A223" s="74"/>
      <c r="C223" s="74"/>
      <c r="D223" s="74"/>
      <c r="E223" s="74"/>
      <c r="F223" s="74"/>
      <c r="R223" s="239"/>
      <c r="S223" s="239"/>
      <c r="T223" s="239"/>
      <c r="U223" s="239"/>
      <c r="V223" s="239"/>
    </row>
    <row r="224" spans="1:22" s="1" customFormat="1" ht="11.25" x14ac:dyDescent="0.2">
      <c r="A224" s="74"/>
      <c r="C224" s="74"/>
      <c r="D224" s="74"/>
      <c r="E224" s="74"/>
      <c r="F224" s="74"/>
      <c r="R224" s="239"/>
      <c r="S224" s="239"/>
      <c r="T224" s="239"/>
      <c r="U224" s="239"/>
      <c r="V224" s="239"/>
    </row>
    <row r="225" spans="1:22" s="1" customFormat="1" ht="11.25" x14ac:dyDescent="0.2">
      <c r="A225" s="74"/>
      <c r="C225" s="74"/>
      <c r="D225" s="74"/>
      <c r="E225" s="74"/>
      <c r="F225" s="74"/>
      <c r="R225" s="239"/>
      <c r="S225" s="239"/>
      <c r="T225" s="239"/>
      <c r="U225" s="239"/>
      <c r="V225" s="239"/>
    </row>
    <row r="226" spans="1:22" s="1" customFormat="1" ht="11.25" x14ac:dyDescent="0.2">
      <c r="A226" s="74"/>
      <c r="C226" s="74"/>
      <c r="D226" s="74"/>
      <c r="E226" s="74"/>
      <c r="F226" s="74"/>
      <c r="R226" s="239"/>
      <c r="S226" s="239"/>
      <c r="T226" s="239"/>
      <c r="U226" s="239"/>
      <c r="V226" s="239"/>
    </row>
    <row r="227" spans="1:22" s="1" customFormat="1" ht="11.25" x14ac:dyDescent="0.2">
      <c r="A227" s="74"/>
      <c r="C227" s="74"/>
      <c r="D227" s="74"/>
      <c r="E227" s="74"/>
      <c r="F227" s="74"/>
      <c r="R227" s="239"/>
      <c r="S227" s="239"/>
      <c r="T227" s="239"/>
      <c r="U227" s="239"/>
      <c r="V227" s="239"/>
    </row>
    <row r="228" spans="1:22" s="1" customFormat="1" ht="11.25" x14ac:dyDescent="0.2">
      <c r="A228" s="74"/>
      <c r="C228" s="74"/>
      <c r="D228" s="74"/>
      <c r="E228" s="74"/>
      <c r="F228" s="74"/>
      <c r="R228" s="239"/>
      <c r="S228" s="239"/>
      <c r="T228" s="239"/>
      <c r="U228" s="239"/>
      <c r="V228" s="239"/>
    </row>
    <row r="229" spans="1:22" s="1" customFormat="1" ht="11.25" x14ac:dyDescent="0.2">
      <c r="A229" s="74"/>
      <c r="C229" s="74"/>
      <c r="D229" s="74"/>
      <c r="E229" s="74"/>
      <c r="F229" s="74"/>
      <c r="R229" s="239"/>
      <c r="S229" s="239"/>
      <c r="T229" s="239"/>
      <c r="U229" s="239"/>
      <c r="V229" s="239"/>
    </row>
    <row r="230" spans="1:22" s="1" customFormat="1" ht="11.25" x14ac:dyDescent="0.2">
      <c r="A230" s="74"/>
      <c r="C230" s="74"/>
      <c r="D230" s="74"/>
      <c r="E230" s="74"/>
      <c r="F230" s="74"/>
      <c r="R230" s="239"/>
      <c r="S230" s="239"/>
      <c r="T230" s="239"/>
      <c r="U230" s="239"/>
      <c r="V230" s="239"/>
    </row>
    <row r="231" spans="1:22" s="1" customFormat="1" ht="11.25" x14ac:dyDescent="0.2">
      <c r="A231" s="74"/>
      <c r="C231" s="74"/>
      <c r="D231" s="74"/>
      <c r="E231" s="74"/>
      <c r="F231" s="74"/>
      <c r="R231" s="239"/>
      <c r="S231" s="239"/>
      <c r="T231" s="239"/>
      <c r="U231" s="239"/>
      <c r="V231" s="239"/>
    </row>
    <row r="232" spans="1:22" s="1" customFormat="1" ht="11.25" x14ac:dyDescent="0.2">
      <c r="A232" s="74"/>
      <c r="C232" s="74"/>
      <c r="D232" s="74"/>
      <c r="E232" s="74"/>
      <c r="F232" s="74"/>
      <c r="R232" s="239"/>
      <c r="S232" s="239"/>
      <c r="T232" s="239"/>
      <c r="U232" s="239"/>
      <c r="V232" s="239"/>
    </row>
    <row r="233" spans="1:22" s="1" customFormat="1" ht="11.25" x14ac:dyDescent="0.2">
      <c r="A233" s="74"/>
      <c r="C233" s="74"/>
      <c r="D233" s="74"/>
      <c r="E233" s="74"/>
      <c r="F233" s="74"/>
      <c r="R233" s="239"/>
      <c r="S233" s="239"/>
      <c r="T233" s="239"/>
      <c r="U233" s="239"/>
      <c r="V233" s="239"/>
    </row>
    <row r="234" spans="1:22" s="1" customFormat="1" ht="11.25" x14ac:dyDescent="0.2">
      <c r="A234" s="74"/>
      <c r="C234" s="74"/>
      <c r="D234" s="74"/>
      <c r="E234" s="74"/>
      <c r="F234" s="74"/>
      <c r="R234" s="239"/>
      <c r="S234" s="239"/>
      <c r="T234" s="239"/>
      <c r="U234" s="239"/>
      <c r="V234" s="239"/>
    </row>
    <row r="235" spans="1:22" s="1" customFormat="1" ht="11.25" x14ac:dyDescent="0.2">
      <c r="A235" s="74"/>
      <c r="C235" s="74"/>
      <c r="D235" s="74"/>
      <c r="E235" s="74"/>
      <c r="F235" s="74"/>
      <c r="R235" s="239"/>
      <c r="S235" s="239"/>
      <c r="T235" s="239"/>
      <c r="U235" s="239"/>
      <c r="V235" s="239"/>
    </row>
  </sheetData>
  <autoFilter ref="A6:AC198">
    <filterColumn colId="17">
      <filters>
        <filter val="ПС 110/10 кВ Аэропорт"/>
        <filter val="ПС 110/10 кВ Бобовичи"/>
        <filter val="ПС 110/10 кВ Валуец"/>
        <filter val="ПС 110/10 кВ Глыбочка"/>
        <filter val="ПС 110/10 кВ Десятуха"/>
        <filter val="ПС 110/10 кВ Добруньская"/>
        <filter val="ПС 110/10 кВ Залинейная"/>
        <filter val="ПС 110/10 кВ Красный рог"/>
        <filter val="ПС 110/10 кВ Летошники"/>
        <filter val="ПС 110/10 кВ Лопандино"/>
        <filter val="ПС 110/10 кВ Молотинская"/>
        <filter val="ПС 110/10 кВ Полпинская"/>
        <filter val="ПС 110/10 кВ Семячки"/>
        <filter val="ПС 110/10 кВ Староселье"/>
        <filter val="ПС 110/10 кВ Тепличная"/>
        <filter val="ПС 110/10 кВ Трубчевск"/>
        <filter val="ПС 110/10 кВ Хмелевская"/>
        <filter val="ПС 110/10 кВ Шеломы"/>
        <filter val="ПС 110/35/10 кВ Дубровская"/>
        <filter val="ПС 110/35/10 кВ Жуковская"/>
        <filter val="ПС 110/35/10 кВ Ивайтенки"/>
        <filter val="ПС 110/35/10 кВ Клетнянская"/>
        <filter val="ПС 110/35/10 кВ Климово"/>
        <filter val="ПС 110/35/10 кВ Комаричи"/>
        <filter val="ПС 110/35/10 кВ Луговая"/>
        <filter val="ПС 110/35/10 кВ Марицкая"/>
        <filter val="ПС 110/35/10 кВ Нерусса"/>
        <filter val="ПС 110/35/10 кВ Плюсково"/>
        <filter val="ПС 110/35/10 кВ Погар"/>
        <filter val="ПС 110/35/10 кВ Почепская"/>
        <filter val="ПС 110/35/10 кВ Стародуб"/>
        <filter val="ПС 110/35/10 кВ Центральная"/>
        <filter val="ПС 110/35/6 кВ Аксинино"/>
        <filter val="ПС 110/35/6 кВ Водоочистная"/>
        <filter val="ПС 110/35/6 кВ Дормашевская"/>
        <filter val="ПС 110/35/6 кВ Дятьковская"/>
        <filter val="ПС 110/35/6 кВ Ивотская"/>
        <filter val="ПС 110/35/6 кВ Кожаны"/>
        <filter val="ПС 110/35/6 кВ Сураж"/>
        <filter val="ПС 110/35/6 кВ Юбилейная"/>
        <filter val="ПС 110/6 кВ Бежицкая"/>
        <filter val="ПС 110/6 кВ Белая Березка"/>
        <filter val="ПС 110/6 кВ Водозабор"/>
        <filter val="ПС 110/6 кВ Высокое"/>
        <filter val="ПС 110/6 кВ Городищенская"/>
        <filter val="ПС 110/6 кВ Западная"/>
        <filter val="ПС 110/6 кВ Заречная"/>
        <filter val="ПС 110/6 кВ Камвольная"/>
        <filter val="ПС 110/6 кВ Карачевская"/>
        <filter val="ПС 110/6 кВ Карачижская"/>
        <filter val="ПС 110/6 кВ Мамоновская"/>
        <filter val="ПС 110/6 кВ Мичуринская"/>
        <filter val="ПС 110/6 кВ Найтоповичи 8НА"/>
        <filter val="ПС 110/6 кВ Свенская"/>
        <filter val="ПС 110/6 кВ Советская"/>
        <filter val="ПС 110/6 кВ Сталелитейная"/>
        <filter val="ПС 110/6 кВ Урицкая"/>
        <filter val="ПС 110/6 кВ Энергоремонт"/>
        <filter val="ПС 110/6 кВ Южная"/>
        <filter val="ПС 35/10 кВ Абаринская"/>
        <filter val="ПС 35/10 кВ Алешинская"/>
        <filter val="ПС 35/10 кВ Алтуховская"/>
        <filter val="ПС 35/10 кВ Андрейковичи"/>
        <filter val="ПС 35/10 кВ Борщево"/>
        <filter val="ПС 35/10 кВ Брасовская"/>
        <filter val="ПС 35/10 кВ Бульшевская"/>
        <filter val="ПС 35/10 кВ Влазовичи"/>
        <filter val="ПС 35/10 кВ Воронок"/>
        <filter val="ПС 35/10 кВ Глодневская"/>
        <filter val="ПС 35/10 кВ Гордеевка"/>
        <filter val="ПС 35/10 кВ Гриденки"/>
        <filter val="ПС 35/10 кВ Гришина Слобода"/>
        <filter val="ПС 35/10 кВ Дивовка"/>
        <filter val="ПС 35/10 кВ Доброводье"/>
        <filter val="ПС 35/10 кВ Домашово"/>
        <filter val="ПС 35/10 кВ Жирятинская"/>
        <filter val="ПС 35/10 кВ Заводская"/>
        <filter val="ПС 35/10 кВ Игрицкая"/>
        <filter val="ПС 35/10 кВ Истопки"/>
        <filter val="ПС 35/10 кВ Касиловская"/>
        <filter val="ПС 35/10 кВ Каташин"/>
        <filter val="ПС 35/10 кВ Кивай"/>
        <filter val="ПС 35/10 кВ Кокоревская"/>
        <filter val="ПС 35/10 кВ Косицкая"/>
        <filter val="ПС 35/10 кВ Крупец"/>
        <filter val="ПС 35/10 кВ Крутояр"/>
        <filter val="ПС 35/10 кВ Логоватое"/>
        <filter val="ПС 35/10 кВ Лопазна"/>
        <filter val="ПС 35/10 кВ Луна"/>
        <filter val="ПС 35/10 кВ Мареевская"/>
        <filter val="ПС 35/10 кВ Мглинская"/>
        <filter val="ПС 35/10 кВ Мишковка"/>
        <filter val="ПС 35/10 кВ Молодьково"/>
        <filter val="ПС 35/10 кВ Морачевская"/>
        <filter val="ПС 35/10 кВ Невдольск"/>
        <filter val="ПС 35/10 кВ Ново-Дроков"/>
        <filter val="ПС 35/10 кВ Норинская"/>
        <filter val="ПС 35/10 кВ Папсуевская"/>
        <filter val="ПС 35/10 кВ Погребы"/>
        <filter val="ПС 35/10 кВ Привольская"/>
        <filter val="ПС 35/10 кВ Путевая"/>
        <filter val="ПС 35/10 кВ Радутинская"/>
        <filter val="ПС 35/10 кВ Ржаницкая"/>
        <filter val="ПС 35/10 кВ Рогнединская"/>
        <filter val="ПС 35/10 кВ Салтановская"/>
        <filter val="ПС 35/10 кВ Светово"/>
        <filter val="ПС 35/10 кВ Севская"/>
        <filter val="ПС 35/10 кВ Селищанская"/>
        <filter val="ПС 35/10 кВ Сеща"/>
        <filter val="ПС 35/10 кВ Слава"/>
        <filter val="ПС 35/10 кВ Смолевичи"/>
        <filter val="ПС 35/10 кВ Совхозная"/>
        <filter val="ПС 35/10 кВ Соловьевка"/>
        <filter val="ПС 35/10 кВ Страчевская"/>
        <filter val="ПС 35/10 кВ Страшевичи"/>
        <filter val="ПС 35/10 кВ Сытая Буда"/>
        <filter val="ПС 35/10 кВ Тепловская"/>
        <filter val="ПС 35/10 кВ Усожская"/>
        <filter val="ПС 35/10 кВ Ущепье"/>
        <filter val="ПС 35/10 кВ Федоровская"/>
        <filter val="ПС 35/10 кВ Хариновская"/>
        <filter val="ПС 35/10 кВ Харитоновская"/>
        <filter val="ПС 35/10 кВ Хвощевская"/>
        <filter val="ПС 35/10 кВ Чуровичи"/>
        <filter val="ПС 35/10 кВ Щербиничи"/>
        <filter val="ПС 35/10 кВ Яковская"/>
        <filter val="ПС 35/10,5 кВ Ружненская"/>
        <filter val="ПС 35/6 кВ Белобережская"/>
        <filter val="ПС 35/6 кВ Бытошь"/>
        <filter val="ПС 35/6 кВ Вельяминовская"/>
        <filter val="ПС 35/6 кВ Ветьма"/>
        <filter val="ПС 35/6 кВ Водозабор"/>
        <filter val="ПС 35/6 кВ Володарская"/>
        <filter val="ПС 35/6 кВ Городская"/>
        <filter val="ПС 35/6 кВ Дроновская"/>
        <filter val="ПС 35/6 кВ Любохна"/>
        <filter val="ПС 35/6 кВ Малополпинская"/>
        <filter val="ПС 35/6 кВ Пальцо"/>
        <filter val="ПС 35/6 кВ Победа"/>
        <filter val="ПС 35/6 кВ Сеща"/>
        <filter val="ПС 35/6 кВ Старь"/>
        <filter val="ПС 35/6 кВ Тембр"/>
        <filter val="ПС 35/6 кВ Ущепье"/>
        <filter val="ПС 35/6 кВ Фокинская"/>
        <filter val="ПС 35/6 кВ Фосфоритная"/>
      </filters>
    </filterColumn>
  </autoFilter>
  <mergeCells count="127">
    <mergeCell ref="A84:A86"/>
    <mergeCell ref="N130:N132"/>
    <mergeCell ref="N107:N109"/>
    <mergeCell ref="N70:N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O125:O127"/>
    <mergeCell ref="A117:A119"/>
    <mergeCell ref="A121:A123"/>
    <mergeCell ref="O66:O68"/>
    <mergeCell ref="N84:N86"/>
    <mergeCell ref="O84:O86"/>
    <mergeCell ref="N94:N96"/>
    <mergeCell ref="O94:O96"/>
    <mergeCell ref="O70:O72"/>
    <mergeCell ref="N76:N78"/>
    <mergeCell ref="O76:O78"/>
    <mergeCell ref="N79:N81"/>
    <mergeCell ref="O79:O81"/>
    <mergeCell ref="N60:N62"/>
    <mergeCell ref="O60:O62"/>
    <mergeCell ref="N63:N65"/>
    <mergeCell ref="O63:O65"/>
    <mergeCell ref="A196:A198"/>
    <mergeCell ref="N117:N119"/>
    <mergeCell ref="O117:O119"/>
    <mergeCell ref="N121:N123"/>
    <mergeCell ref="O121:O123"/>
    <mergeCell ref="N125:N127"/>
    <mergeCell ref="O107:O109"/>
    <mergeCell ref="N110:N112"/>
    <mergeCell ref="O110:O112"/>
    <mergeCell ref="N114:N116"/>
    <mergeCell ref="O114:O116"/>
    <mergeCell ref="O57:O59"/>
    <mergeCell ref="N8:N10"/>
    <mergeCell ref="N17:N19"/>
    <mergeCell ref="N20:N22"/>
    <mergeCell ref="N23:N25"/>
    <mergeCell ref="Q130:Q132"/>
    <mergeCell ref="Q125:Q127"/>
    <mergeCell ref="Q121:Q123"/>
    <mergeCell ref="Q117:Q119"/>
    <mergeCell ref="N101:N103"/>
    <mergeCell ref="O101:O103"/>
    <mergeCell ref="Q94:Q96"/>
    <mergeCell ref="Q66:Q68"/>
    <mergeCell ref="Q70:Q72"/>
    <mergeCell ref="Q114:Q116"/>
    <mergeCell ref="Q23:Q25"/>
    <mergeCell ref="Q57:Q59"/>
    <mergeCell ref="Q60:Q62"/>
    <mergeCell ref="Q63:Q65"/>
    <mergeCell ref="Q101:Q103"/>
    <mergeCell ref="Q110:Q112"/>
    <mergeCell ref="Q107:Q109"/>
    <mergeCell ref="O130:O132"/>
    <mergeCell ref="A49:A51"/>
    <mergeCell ref="A8:A10"/>
    <mergeCell ref="O8:O10"/>
    <mergeCell ref="A17:A19"/>
    <mergeCell ref="O17:O19"/>
    <mergeCell ref="O20:O22"/>
    <mergeCell ref="O23:O25"/>
    <mergeCell ref="A20:A22"/>
    <mergeCell ref="A23:A25"/>
    <mergeCell ref="N49:N51"/>
    <mergeCell ref="G4:G5"/>
    <mergeCell ref="H4:I4"/>
    <mergeCell ref="J4:J5"/>
    <mergeCell ref="K4:K5"/>
    <mergeCell ref="L4:L5"/>
    <mergeCell ref="O49:O51"/>
    <mergeCell ref="AC114:AC116"/>
    <mergeCell ref="AC79:AC81"/>
    <mergeCell ref="AC84:AC86"/>
    <mergeCell ref="AC20:AC22"/>
    <mergeCell ref="AC23:AC25"/>
    <mergeCell ref="AC49:AC51"/>
    <mergeCell ref="Q8:Q10"/>
    <mergeCell ref="Q17:Q19"/>
    <mergeCell ref="A3:A5"/>
    <mergeCell ref="B3:B5"/>
    <mergeCell ref="C3:N3"/>
    <mergeCell ref="O3:O5"/>
    <mergeCell ref="C4:C5"/>
    <mergeCell ref="AC121:AC123"/>
    <mergeCell ref="AC101:AC103"/>
    <mergeCell ref="AC125:AC127"/>
    <mergeCell ref="AC107:AC109"/>
    <mergeCell ref="AC110:AC112"/>
    <mergeCell ref="AC70:AC72"/>
    <mergeCell ref="AC76:AC78"/>
    <mergeCell ref="Q20:Q22"/>
    <mergeCell ref="Q49:Q51"/>
    <mergeCell ref="AC8:AC10"/>
    <mergeCell ref="AC17:AC19"/>
    <mergeCell ref="Q196:Q198"/>
    <mergeCell ref="M1:N1"/>
    <mergeCell ref="M2:N2"/>
    <mergeCell ref="M4:N5"/>
    <mergeCell ref="AC117:AC119"/>
    <mergeCell ref="AC94:AC96"/>
    <mergeCell ref="Q79:Q81"/>
    <mergeCell ref="Q84:Q86"/>
    <mergeCell ref="AC60:AC62"/>
    <mergeCell ref="AC63:AC65"/>
    <mergeCell ref="AC66:AC68"/>
    <mergeCell ref="AC57:AC59"/>
    <mergeCell ref="Q76:Q78"/>
    <mergeCell ref="N66:N68"/>
    <mergeCell ref="N57:N59"/>
    <mergeCell ref="AC3:AC5"/>
    <mergeCell ref="Q3:Q5"/>
    <mergeCell ref="AC130:AC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1"/>
  <sheetViews>
    <sheetView tabSelected="1" zoomScale="90" zoomScaleNormal="90" workbookViewId="0">
      <selection activeCell="J14" sqref="J14"/>
    </sheetView>
  </sheetViews>
  <sheetFormatPr defaultRowHeight="15" x14ac:dyDescent="0.25"/>
  <cols>
    <col min="1" max="1" width="24.42578125" style="119" customWidth="1"/>
    <col min="2" max="2" width="16.7109375" style="119" customWidth="1"/>
    <col min="3" max="3" width="16.85546875" style="119" customWidth="1"/>
    <col min="4" max="4" width="10.28515625" style="119" customWidth="1"/>
    <col min="5" max="5" width="18.140625" style="119" customWidth="1"/>
    <col min="6" max="7" width="18.140625" style="243" customWidth="1"/>
    <col min="8" max="8" width="13.5703125" style="243" customWidth="1"/>
    <col min="9" max="9" width="14.140625" style="246" customWidth="1"/>
    <col min="10" max="10" width="10.85546875" style="119" customWidth="1"/>
    <col min="11" max="11" width="14.42578125" style="119" customWidth="1"/>
    <col min="12" max="12" width="18.85546875" style="119" customWidth="1"/>
    <col min="13" max="13" width="19.85546875" style="119" customWidth="1"/>
  </cols>
  <sheetData>
    <row r="5" spans="1:13" ht="143.25" customHeight="1" x14ac:dyDescent="0.25">
      <c r="A5" s="112" t="s">
        <v>2</v>
      </c>
      <c r="B5" s="112" t="s">
        <v>532</v>
      </c>
      <c r="C5" s="112" t="s">
        <v>533</v>
      </c>
      <c r="D5" s="112" t="s">
        <v>534</v>
      </c>
      <c r="E5" s="113" t="s">
        <v>535</v>
      </c>
      <c r="F5" s="112" t="s">
        <v>536</v>
      </c>
      <c r="G5" s="112" t="s">
        <v>537</v>
      </c>
      <c r="H5" s="112" t="s">
        <v>538</v>
      </c>
      <c r="I5" s="247" t="s">
        <v>539</v>
      </c>
      <c r="J5" s="114" t="s">
        <v>226</v>
      </c>
      <c r="K5" s="114" t="s">
        <v>227</v>
      </c>
      <c r="L5" s="115" t="s">
        <v>228</v>
      </c>
      <c r="M5" s="115" t="s">
        <v>229</v>
      </c>
    </row>
    <row r="6" spans="1:13" x14ac:dyDescent="0.25">
      <c r="A6" s="118" t="s">
        <v>67</v>
      </c>
      <c r="B6" s="120">
        <v>1992</v>
      </c>
      <c r="C6" s="118">
        <v>6.3</v>
      </c>
      <c r="D6" s="121">
        <v>1.093</v>
      </c>
      <c r="E6" s="118">
        <v>5.2069999999999999</v>
      </c>
      <c r="F6" s="70">
        <v>7.4999999999999997E-3</v>
      </c>
      <c r="G6" s="123">
        <v>5.6249999999999998E-3</v>
      </c>
      <c r="H6" s="123">
        <v>5.1994999999999996</v>
      </c>
      <c r="I6" s="121"/>
      <c r="J6" s="118" t="s">
        <v>24</v>
      </c>
      <c r="K6" s="118" t="s">
        <v>24</v>
      </c>
      <c r="L6" s="249" t="s">
        <v>498</v>
      </c>
      <c r="M6" s="249" t="s">
        <v>499</v>
      </c>
    </row>
    <row r="7" spans="1:13" x14ac:dyDescent="0.25">
      <c r="A7" s="118" t="s">
        <v>90</v>
      </c>
      <c r="B7" s="120">
        <v>1991</v>
      </c>
      <c r="C7" s="118">
        <v>16</v>
      </c>
      <c r="D7" s="121">
        <v>4.0430000000000001</v>
      </c>
      <c r="E7" s="118">
        <v>11.957000000000001</v>
      </c>
      <c r="F7" s="244">
        <v>5.62E-2</v>
      </c>
      <c r="G7" s="123">
        <v>4.215E-2</v>
      </c>
      <c r="H7" s="123">
        <v>11.9008</v>
      </c>
      <c r="I7" s="121"/>
      <c r="J7" s="118" t="s">
        <v>24</v>
      </c>
      <c r="K7" s="118" t="s">
        <v>24</v>
      </c>
      <c r="L7" s="249" t="s">
        <v>510</v>
      </c>
      <c r="M7" s="249" t="s">
        <v>511</v>
      </c>
    </row>
    <row r="8" spans="1:13" x14ac:dyDescent="0.25">
      <c r="A8" s="116" t="s">
        <v>92</v>
      </c>
      <c r="B8" s="118">
        <v>1988</v>
      </c>
      <c r="C8" s="118">
        <v>6.3</v>
      </c>
      <c r="D8" s="121">
        <v>1.7509999999999999</v>
      </c>
      <c r="E8" s="118">
        <v>4.5489999999999995</v>
      </c>
      <c r="F8" s="244">
        <v>0.23757600000000004</v>
      </c>
      <c r="G8" s="123">
        <v>0.17818200000000003</v>
      </c>
      <c r="H8" s="123">
        <v>4.3114239999999997</v>
      </c>
      <c r="I8" s="121"/>
      <c r="J8" s="118" t="s">
        <v>24</v>
      </c>
      <c r="K8" s="118" t="s">
        <v>24</v>
      </c>
      <c r="L8" s="249" t="s">
        <v>514</v>
      </c>
      <c r="M8" s="249" t="s">
        <v>515</v>
      </c>
    </row>
    <row r="9" spans="1:13" x14ac:dyDescent="0.25">
      <c r="A9" s="116" t="s">
        <v>97</v>
      </c>
      <c r="B9" s="118">
        <v>1990</v>
      </c>
      <c r="C9" s="118">
        <v>6.3</v>
      </c>
      <c r="D9" s="121">
        <v>1.4570000000000001</v>
      </c>
      <c r="E9" s="118">
        <v>4.843</v>
      </c>
      <c r="F9" s="244">
        <v>1.8301000000000005</v>
      </c>
      <c r="G9" s="123">
        <v>1.3725750000000003</v>
      </c>
      <c r="H9" s="123">
        <v>3.0128999999999992</v>
      </c>
      <c r="I9" s="121"/>
      <c r="J9" s="118" t="s">
        <v>24</v>
      </c>
      <c r="K9" s="118" t="s">
        <v>24</v>
      </c>
      <c r="L9" s="249" t="s">
        <v>426</v>
      </c>
      <c r="M9" s="249" t="s">
        <v>427</v>
      </c>
    </row>
    <row r="10" spans="1:13" ht="30" x14ac:dyDescent="0.25">
      <c r="A10" s="116" t="s">
        <v>99</v>
      </c>
      <c r="B10" s="118">
        <v>1992</v>
      </c>
      <c r="C10" s="118">
        <v>10</v>
      </c>
      <c r="D10" s="121">
        <v>6.5869999999999997</v>
      </c>
      <c r="E10" s="118">
        <v>-2.2869999999999999</v>
      </c>
      <c r="F10" s="244">
        <v>1.4128000000000001</v>
      </c>
      <c r="G10" s="123">
        <v>1.0596000000000001</v>
      </c>
      <c r="H10" s="123">
        <v>0</v>
      </c>
      <c r="I10" s="248">
        <v>2017</v>
      </c>
      <c r="J10" s="118" t="s">
        <v>25</v>
      </c>
      <c r="K10" s="118" t="s">
        <v>25</v>
      </c>
      <c r="L10" s="249" t="s">
        <v>422</v>
      </c>
      <c r="M10" s="249" t="s">
        <v>423</v>
      </c>
    </row>
    <row r="11" spans="1:13" ht="30" x14ac:dyDescent="0.25">
      <c r="A11" s="116" t="s">
        <v>159</v>
      </c>
      <c r="B11" s="118">
        <v>1964</v>
      </c>
      <c r="C11" s="118">
        <v>10</v>
      </c>
      <c r="D11" s="121">
        <v>0.68700000000000006</v>
      </c>
      <c r="E11" s="118">
        <v>9.3130000000000006</v>
      </c>
      <c r="F11" s="244">
        <v>0.67773299999999981</v>
      </c>
      <c r="G11" s="123">
        <v>0.50829974999999983</v>
      </c>
      <c r="H11" s="123">
        <v>8.6352670000000007</v>
      </c>
      <c r="I11" s="121"/>
      <c r="J11" s="118" t="s">
        <v>24</v>
      </c>
      <c r="K11" s="118" t="s">
        <v>24</v>
      </c>
      <c r="L11" s="249" t="s">
        <v>446</v>
      </c>
      <c r="M11" s="249" t="s">
        <v>447</v>
      </c>
    </row>
    <row r="12" spans="1:13" x14ac:dyDescent="0.25">
      <c r="A12" s="116" t="s">
        <v>160</v>
      </c>
      <c r="B12" s="118">
        <v>1984</v>
      </c>
      <c r="C12" s="118">
        <v>2.5</v>
      </c>
      <c r="D12" s="121">
        <v>0.751</v>
      </c>
      <c r="E12" s="118">
        <v>1.7490000000000001</v>
      </c>
      <c r="F12" s="244">
        <v>0.33440000000000003</v>
      </c>
      <c r="G12" s="123">
        <v>0.25080000000000002</v>
      </c>
      <c r="H12" s="123">
        <v>1.4146000000000001</v>
      </c>
      <c r="I12" s="121"/>
      <c r="J12" s="118" t="s">
        <v>24</v>
      </c>
      <c r="K12" s="118" t="s">
        <v>24</v>
      </c>
      <c r="L12" s="249" t="s">
        <v>462</v>
      </c>
      <c r="M12" s="249" t="s">
        <v>463</v>
      </c>
    </row>
    <row r="13" spans="1:13" x14ac:dyDescent="0.25">
      <c r="A13" s="116" t="s">
        <v>161</v>
      </c>
      <c r="B13" s="118">
        <v>1994</v>
      </c>
      <c r="C13" s="118">
        <v>6.3</v>
      </c>
      <c r="D13" s="121">
        <v>1.1599999999999999</v>
      </c>
      <c r="E13" s="118">
        <v>5.14</v>
      </c>
      <c r="F13" s="244">
        <v>0</v>
      </c>
      <c r="G13" s="123">
        <v>0</v>
      </c>
      <c r="H13" s="123">
        <v>5.14</v>
      </c>
      <c r="I13" s="121"/>
      <c r="J13" s="118" t="s">
        <v>24</v>
      </c>
      <c r="K13" s="118" t="s">
        <v>24</v>
      </c>
      <c r="L13" s="249" t="s">
        <v>434</v>
      </c>
      <c r="M13" s="249" t="s">
        <v>435</v>
      </c>
    </row>
    <row r="14" spans="1:13" ht="30" x14ac:dyDescent="0.25">
      <c r="A14" s="116" t="s">
        <v>165</v>
      </c>
      <c r="B14" s="118">
        <v>1980</v>
      </c>
      <c r="C14" s="118">
        <v>6.3</v>
      </c>
      <c r="D14" s="121">
        <v>1.82</v>
      </c>
      <c r="E14" s="118">
        <v>4.4799999999999995</v>
      </c>
      <c r="F14" s="244">
        <v>4.3736999999999998E-2</v>
      </c>
      <c r="G14" s="123">
        <v>3.2802749999999999E-2</v>
      </c>
      <c r="H14" s="123">
        <v>4.4362630000000003</v>
      </c>
      <c r="I14" s="121"/>
      <c r="J14" s="118" t="s">
        <v>24</v>
      </c>
      <c r="K14" s="118" t="s">
        <v>24</v>
      </c>
      <c r="L14" s="249" t="s">
        <v>444</v>
      </c>
      <c r="M14" s="249" t="s">
        <v>445</v>
      </c>
    </row>
    <row r="15" spans="1:13" x14ac:dyDescent="0.25">
      <c r="A15" s="116" t="s">
        <v>168</v>
      </c>
      <c r="B15" s="118">
        <v>1992</v>
      </c>
      <c r="C15" s="118">
        <v>16</v>
      </c>
      <c r="D15" s="121">
        <v>5.7560000000000002</v>
      </c>
      <c r="E15" s="118">
        <v>10.244</v>
      </c>
      <c r="F15" s="244">
        <v>6.0999999999999999E-2</v>
      </c>
      <c r="G15" s="123">
        <v>4.5749999999999999E-2</v>
      </c>
      <c r="H15" s="123">
        <v>10.183</v>
      </c>
      <c r="I15" s="121"/>
      <c r="J15" s="118" t="s">
        <v>24</v>
      </c>
      <c r="K15" s="118" t="s">
        <v>24</v>
      </c>
      <c r="L15" s="249" t="s">
        <v>438</v>
      </c>
      <c r="M15" s="249" t="s">
        <v>439</v>
      </c>
    </row>
    <row r="16" spans="1:13" ht="30" x14ac:dyDescent="0.25">
      <c r="A16" s="116" t="s">
        <v>153</v>
      </c>
      <c r="B16" s="122">
        <v>2008</v>
      </c>
      <c r="C16" s="118">
        <v>6.3</v>
      </c>
      <c r="D16" s="121">
        <v>1.8729999999999998</v>
      </c>
      <c r="E16" s="118">
        <v>4.4269999999999996</v>
      </c>
      <c r="F16" s="244">
        <v>1.0767999999999998</v>
      </c>
      <c r="G16" s="123">
        <v>0.80759999999999987</v>
      </c>
      <c r="H16" s="123">
        <v>3.3502000000000001</v>
      </c>
      <c r="I16" s="121"/>
      <c r="J16" s="118" t="s">
        <v>24</v>
      </c>
      <c r="K16" s="118" t="s">
        <v>24</v>
      </c>
      <c r="L16" s="249" t="s">
        <v>512</v>
      </c>
      <c r="M16" s="249" t="s">
        <v>513</v>
      </c>
    </row>
    <row r="17" spans="1:13" x14ac:dyDescent="0.25">
      <c r="A17" s="116" t="s">
        <v>101</v>
      </c>
      <c r="B17" s="118">
        <v>1967</v>
      </c>
      <c r="C17" s="118">
        <v>2.5</v>
      </c>
      <c r="D17" s="121">
        <v>0.309</v>
      </c>
      <c r="E17" s="118">
        <v>2.1909999999999998</v>
      </c>
      <c r="F17" s="244">
        <v>3.5600000000000007E-2</v>
      </c>
      <c r="G17" s="123">
        <v>2.6700000000000005E-2</v>
      </c>
      <c r="H17" s="123">
        <v>2.1554000000000002</v>
      </c>
      <c r="I17" s="121"/>
      <c r="J17" s="118" t="s">
        <v>24</v>
      </c>
      <c r="K17" s="118" t="s">
        <v>24</v>
      </c>
      <c r="L17" s="249" t="s">
        <v>294</v>
      </c>
      <c r="M17" s="249" t="s">
        <v>295</v>
      </c>
    </row>
    <row r="18" spans="1:13" ht="30" x14ac:dyDescent="0.25">
      <c r="A18" s="116" t="s">
        <v>102</v>
      </c>
      <c r="B18" s="118">
        <v>1969</v>
      </c>
      <c r="C18" s="118">
        <v>1.6</v>
      </c>
      <c r="D18" s="121">
        <v>0.44700000000000001</v>
      </c>
      <c r="E18" s="118">
        <v>1.153</v>
      </c>
      <c r="F18" s="244">
        <v>0</v>
      </c>
      <c r="G18" s="123">
        <v>0</v>
      </c>
      <c r="H18" s="123">
        <v>1.153</v>
      </c>
      <c r="I18" s="121"/>
      <c r="J18" s="118" t="s">
        <v>24</v>
      </c>
      <c r="K18" s="118" t="s">
        <v>24</v>
      </c>
      <c r="L18" s="249" t="s">
        <v>384</v>
      </c>
      <c r="M18" s="249" t="s">
        <v>385</v>
      </c>
    </row>
    <row r="19" spans="1:13" x14ac:dyDescent="0.25">
      <c r="A19" s="116" t="s">
        <v>114</v>
      </c>
      <c r="B19" s="118">
        <v>2006</v>
      </c>
      <c r="C19" s="118">
        <v>2.5</v>
      </c>
      <c r="D19" s="121">
        <v>0.60099999999999998</v>
      </c>
      <c r="E19" s="118">
        <v>1.899</v>
      </c>
      <c r="F19" s="244">
        <v>0.93979999999999997</v>
      </c>
      <c r="G19" s="123">
        <v>0.70484999999999998</v>
      </c>
      <c r="H19" s="123">
        <v>0.95920000000000005</v>
      </c>
      <c r="I19" s="121"/>
      <c r="J19" s="118" t="s">
        <v>24</v>
      </c>
      <c r="K19" s="118" t="s">
        <v>24</v>
      </c>
      <c r="L19" s="249" t="s">
        <v>232</v>
      </c>
      <c r="M19" s="249" t="s">
        <v>233</v>
      </c>
    </row>
    <row r="20" spans="1:13" x14ac:dyDescent="0.25">
      <c r="A20" s="116" t="s">
        <v>115</v>
      </c>
      <c r="B20" s="118">
        <v>1975</v>
      </c>
      <c r="C20" s="118">
        <v>2.5</v>
      </c>
      <c r="D20" s="121">
        <v>0.56699999999999995</v>
      </c>
      <c r="E20" s="118">
        <v>1.9330000000000001</v>
      </c>
      <c r="F20" s="244">
        <v>1.5300000000000008E-2</v>
      </c>
      <c r="G20" s="123">
        <v>1.1475000000000006E-2</v>
      </c>
      <c r="H20" s="123">
        <v>1.9177</v>
      </c>
      <c r="I20" s="121"/>
      <c r="J20" s="118" t="s">
        <v>24</v>
      </c>
      <c r="K20" s="118" t="s">
        <v>24</v>
      </c>
      <c r="L20" s="249" t="s">
        <v>392</v>
      </c>
      <c r="M20" s="249" t="s">
        <v>393</v>
      </c>
    </row>
    <row r="21" spans="1:13" x14ac:dyDescent="0.25">
      <c r="A21" s="116" t="s">
        <v>212</v>
      </c>
      <c r="B21" s="118">
        <v>1969</v>
      </c>
      <c r="C21" s="118">
        <v>4</v>
      </c>
      <c r="D21" s="121">
        <v>0.78500000000000003</v>
      </c>
      <c r="E21" s="118">
        <v>3.2149999999999999</v>
      </c>
      <c r="F21" s="244">
        <v>2.9999999999999992E-3</v>
      </c>
      <c r="G21" s="123">
        <v>2.2499999999999994E-3</v>
      </c>
      <c r="H21" s="123">
        <v>3.2119999999999997</v>
      </c>
      <c r="I21" s="121"/>
      <c r="J21" s="118" t="s">
        <v>24</v>
      </c>
      <c r="K21" s="118" t="s">
        <v>24</v>
      </c>
      <c r="L21" s="249" t="s">
        <v>364</v>
      </c>
      <c r="M21" s="249" t="s">
        <v>365</v>
      </c>
    </row>
    <row r="22" spans="1:13" ht="30" x14ac:dyDescent="0.25">
      <c r="A22" s="116" t="s">
        <v>125</v>
      </c>
      <c r="B22" s="118">
        <v>1991</v>
      </c>
      <c r="C22" s="118">
        <v>4</v>
      </c>
      <c r="D22" s="121">
        <v>0.76400000000000001</v>
      </c>
      <c r="E22" s="118">
        <v>3.2359999999999998</v>
      </c>
      <c r="F22" s="244">
        <v>6.0876E-2</v>
      </c>
      <c r="G22" s="123">
        <v>4.5657000000000003E-2</v>
      </c>
      <c r="H22" s="123">
        <v>3.1751239999999998</v>
      </c>
      <c r="I22" s="121"/>
      <c r="J22" s="118" t="s">
        <v>24</v>
      </c>
      <c r="K22" s="118" t="s">
        <v>24</v>
      </c>
      <c r="L22" s="249" t="s">
        <v>360</v>
      </c>
      <c r="M22" s="249" t="s">
        <v>361</v>
      </c>
    </row>
    <row r="23" spans="1:13" ht="30" x14ac:dyDescent="0.25">
      <c r="A23" s="116" t="s">
        <v>126</v>
      </c>
      <c r="B23" s="118">
        <v>1986</v>
      </c>
      <c r="C23" s="118">
        <v>1.6</v>
      </c>
      <c r="D23" s="121">
        <v>0.41699999999999998</v>
      </c>
      <c r="E23" s="118">
        <v>1.1830000000000001</v>
      </c>
      <c r="F23" s="244">
        <v>0.67400000000000004</v>
      </c>
      <c r="G23" s="123">
        <v>0.50550000000000006</v>
      </c>
      <c r="H23" s="123">
        <v>0.50900000000000012</v>
      </c>
      <c r="I23" s="121"/>
      <c r="J23" s="118" t="s">
        <v>24</v>
      </c>
      <c r="K23" s="118" t="s">
        <v>24</v>
      </c>
      <c r="L23" s="249" t="s">
        <v>238</v>
      </c>
      <c r="M23" s="249" t="s">
        <v>239</v>
      </c>
    </row>
    <row r="24" spans="1:13" ht="30" x14ac:dyDescent="0.25">
      <c r="A24" s="116" t="s">
        <v>137</v>
      </c>
      <c r="B24" s="118">
        <v>1977</v>
      </c>
      <c r="C24" s="118">
        <v>2.5</v>
      </c>
      <c r="D24" s="121">
        <v>0.65100000000000002</v>
      </c>
      <c r="E24" s="118">
        <v>1.849</v>
      </c>
      <c r="F24" s="244">
        <v>6.9600000000000009E-2</v>
      </c>
      <c r="G24" s="123">
        <v>5.220000000000001E-2</v>
      </c>
      <c r="H24" s="123">
        <v>1.7793999999999999</v>
      </c>
      <c r="I24" s="121"/>
      <c r="J24" s="118" t="s">
        <v>24</v>
      </c>
      <c r="K24" s="118" t="s">
        <v>24</v>
      </c>
      <c r="L24" s="249" t="s">
        <v>394</v>
      </c>
      <c r="M24" s="249" t="s">
        <v>395</v>
      </c>
    </row>
    <row r="25" spans="1:13" x14ac:dyDescent="0.25">
      <c r="A25" s="116" t="s">
        <v>138</v>
      </c>
      <c r="B25" s="118">
        <v>1983</v>
      </c>
      <c r="C25" s="118">
        <v>2.5</v>
      </c>
      <c r="D25" s="121">
        <v>0.36599999999999999</v>
      </c>
      <c r="E25" s="118">
        <v>2.1339999999999999</v>
      </c>
      <c r="F25" s="244">
        <v>1.6300000000000002E-2</v>
      </c>
      <c r="G25" s="123">
        <v>1.2225000000000001E-2</v>
      </c>
      <c r="H25" s="123">
        <v>2.1177000000000001</v>
      </c>
      <c r="I25" s="121"/>
      <c r="J25" s="118" t="s">
        <v>24</v>
      </c>
      <c r="K25" s="118" t="s">
        <v>24</v>
      </c>
      <c r="L25" s="249" t="s">
        <v>376</v>
      </c>
      <c r="M25" s="249" t="s">
        <v>377</v>
      </c>
    </row>
    <row r="26" spans="1:13" x14ac:dyDescent="0.25">
      <c r="A26" s="116" t="s">
        <v>139</v>
      </c>
      <c r="B26" s="118">
        <v>1967</v>
      </c>
      <c r="C26" s="118">
        <v>2.5</v>
      </c>
      <c r="D26" s="121">
        <v>0.753</v>
      </c>
      <c r="E26" s="118">
        <v>1.7469999999999999</v>
      </c>
      <c r="F26" s="244">
        <v>0.01</v>
      </c>
      <c r="G26" s="123">
        <v>7.4999999999999997E-3</v>
      </c>
      <c r="H26" s="123">
        <v>1.7370000000000001</v>
      </c>
      <c r="I26" s="121"/>
      <c r="J26" s="118" t="s">
        <v>24</v>
      </c>
      <c r="K26" s="118" t="s">
        <v>24</v>
      </c>
      <c r="L26" s="249" t="s">
        <v>322</v>
      </c>
      <c r="M26" s="249" t="s">
        <v>323</v>
      </c>
    </row>
    <row r="27" spans="1:13" x14ac:dyDescent="0.25">
      <c r="A27" s="116" t="s">
        <v>140</v>
      </c>
      <c r="B27" s="118">
        <v>1979</v>
      </c>
      <c r="C27" s="118">
        <v>4</v>
      </c>
      <c r="D27" s="121">
        <v>0.32700000000000001</v>
      </c>
      <c r="E27" s="118">
        <v>3.673</v>
      </c>
      <c r="F27" s="244">
        <v>3.9999999999999845E-4</v>
      </c>
      <c r="G27" s="123">
        <v>2.9999999999999884E-4</v>
      </c>
      <c r="H27" s="123">
        <v>3.6726000000000001</v>
      </c>
      <c r="I27" s="121"/>
      <c r="J27" s="118" t="s">
        <v>24</v>
      </c>
      <c r="K27" s="118" t="s">
        <v>24</v>
      </c>
      <c r="L27" s="249" t="s">
        <v>346</v>
      </c>
      <c r="M27" s="249" t="s">
        <v>347</v>
      </c>
    </row>
    <row r="28" spans="1:13" ht="30" x14ac:dyDescent="0.25">
      <c r="A28" s="116" t="s">
        <v>141</v>
      </c>
      <c r="B28" s="118">
        <v>1978</v>
      </c>
      <c r="C28" s="118">
        <v>2.5</v>
      </c>
      <c r="D28" s="121">
        <v>0.47599999999999998</v>
      </c>
      <c r="E28" s="118">
        <v>2.024</v>
      </c>
      <c r="F28" s="244">
        <v>0.26750000000000007</v>
      </c>
      <c r="G28" s="123">
        <v>0.20062500000000005</v>
      </c>
      <c r="H28" s="123">
        <v>1.7565</v>
      </c>
      <c r="I28" s="121"/>
      <c r="J28" s="118" t="s">
        <v>24</v>
      </c>
      <c r="K28" s="118" t="s">
        <v>24</v>
      </c>
      <c r="L28" s="249" t="s">
        <v>370</v>
      </c>
      <c r="M28" s="249" t="s">
        <v>371</v>
      </c>
    </row>
    <row r="29" spans="1:13" ht="30" x14ac:dyDescent="0.25">
      <c r="A29" s="116" t="s">
        <v>144</v>
      </c>
      <c r="B29" s="118">
        <v>1991</v>
      </c>
      <c r="C29" s="118">
        <v>4</v>
      </c>
      <c r="D29" s="121">
        <v>2.0910000000000002</v>
      </c>
      <c r="E29" s="118">
        <v>1.9089999999999998</v>
      </c>
      <c r="F29" s="244">
        <v>1.5494999999999999</v>
      </c>
      <c r="G29" s="123">
        <v>1.1621249999999999</v>
      </c>
      <c r="H29" s="123">
        <v>0.35949999999999971</v>
      </c>
      <c r="I29" s="121"/>
      <c r="J29" s="118" t="s">
        <v>24</v>
      </c>
      <c r="K29" s="118" t="s">
        <v>24</v>
      </c>
      <c r="L29" s="249" t="s">
        <v>244</v>
      </c>
      <c r="M29" s="249" t="s">
        <v>245</v>
      </c>
    </row>
    <row r="30" spans="1:13" x14ac:dyDescent="0.25">
      <c r="A30" s="116" t="s">
        <v>146</v>
      </c>
      <c r="B30" s="118">
        <v>1977</v>
      </c>
      <c r="C30" s="118">
        <v>2.5</v>
      </c>
      <c r="D30" s="121">
        <v>0.871</v>
      </c>
      <c r="E30" s="118">
        <v>1.629</v>
      </c>
      <c r="F30" s="244">
        <v>5.3199999999999997E-2</v>
      </c>
      <c r="G30" s="123">
        <v>3.9899999999999998E-2</v>
      </c>
      <c r="H30" s="123">
        <v>1.5758000000000001</v>
      </c>
      <c r="I30" s="121"/>
      <c r="J30" s="118" t="s">
        <v>24</v>
      </c>
      <c r="K30" s="118" t="s">
        <v>24</v>
      </c>
      <c r="L30" s="249" t="s">
        <v>354</v>
      </c>
      <c r="M30" s="249" t="s">
        <v>355</v>
      </c>
    </row>
    <row r="31" spans="1:13" x14ac:dyDescent="0.25">
      <c r="A31" s="116" t="s">
        <v>150</v>
      </c>
      <c r="B31" s="118">
        <v>1982</v>
      </c>
      <c r="C31" s="118">
        <v>1</v>
      </c>
      <c r="D31" s="121">
        <v>6.9000000000000006E-2</v>
      </c>
      <c r="E31" s="118">
        <v>0.93100000000000005</v>
      </c>
      <c r="F31" s="244">
        <v>0</v>
      </c>
      <c r="G31" s="123">
        <v>0</v>
      </c>
      <c r="H31" s="123">
        <v>0.93100000000000005</v>
      </c>
      <c r="I31" s="121"/>
      <c r="J31" s="118" t="s">
        <v>24</v>
      </c>
      <c r="K31" s="118" t="s">
        <v>24</v>
      </c>
      <c r="L31" s="249" t="s">
        <v>252</v>
      </c>
      <c r="M31" s="249" t="s">
        <v>253</v>
      </c>
    </row>
    <row r="32" spans="1:13" ht="30" x14ac:dyDescent="0.25">
      <c r="A32" s="116" t="s">
        <v>151</v>
      </c>
      <c r="B32" s="118">
        <v>1983</v>
      </c>
      <c r="C32" s="118">
        <v>4</v>
      </c>
      <c r="D32" s="121">
        <v>0.85499999999999998</v>
      </c>
      <c r="E32" s="118">
        <v>3.145</v>
      </c>
      <c r="F32" s="244">
        <v>0.1406</v>
      </c>
      <c r="G32" s="123">
        <v>0.10545</v>
      </c>
      <c r="H32" s="123">
        <v>3.0044</v>
      </c>
      <c r="I32" s="121"/>
      <c r="J32" s="118" t="s">
        <v>24</v>
      </c>
      <c r="K32" s="118" t="s">
        <v>24</v>
      </c>
      <c r="L32" s="249" t="s">
        <v>256</v>
      </c>
      <c r="M32" s="249" t="s">
        <v>257</v>
      </c>
    </row>
    <row r="33" spans="1:13" x14ac:dyDescent="0.25">
      <c r="A33" s="116" t="s">
        <v>211</v>
      </c>
      <c r="B33" s="118">
        <v>1978</v>
      </c>
      <c r="C33" s="118">
        <v>2.5</v>
      </c>
      <c r="D33" s="121">
        <v>0.874</v>
      </c>
      <c r="E33" s="118">
        <v>1.6259999999999999</v>
      </c>
      <c r="F33" s="244">
        <v>2.8599999999999987E-2</v>
      </c>
      <c r="G33" s="123">
        <v>2.144999999999999E-2</v>
      </c>
      <c r="H33" s="123">
        <v>1.5973999999999999</v>
      </c>
      <c r="I33" s="121"/>
      <c r="J33" s="118" t="s">
        <v>24</v>
      </c>
      <c r="K33" s="118" t="s">
        <v>24</v>
      </c>
      <c r="L33" s="249" t="s">
        <v>234</v>
      </c>
      <c r="M33" s="249" t="s">
        <v>235</v>
      </c>
    </row>
    <row r="34" spans="1:13" x14ac:dyDescent="0.25">
      <c r="A34" s="116" t="s">
        <v>195</v>
      </c>
      <c r="B34" s="118">
        <v>1983</v>
      </c>
      <c r="C34" s="118">
        <v>1.6</v>
      </c>
      <c r="D34" s="121">
        <v>0.22900000000000001</v>
      </c>
      <c r="E34" s="118">
        <v>1.371</v>
      </c>
      <c r="F34" s="244">
        <v>6.5000000000000006E-3</v>
      </c>
      <c r="G34" s="123">
        <v>4.8750000000000009E-3</v>
      </c>
      <c r="H34" s="123">
        <v>1.3645</v>
      </c>
      <c r="I34" s="121"/>
      <c r="J34" s="118" t="s">
        <v>24</v>
      </c>
      <c r="K34" s="118" t="s">
        <v>24</v>
      </c>
      <c r="L34" s="249" t="s">
        <v>268</v>
      </c>
      <c r="M34" s="249" t="s">
        <v>269</v>
      </c>
    </row>
    <row r="35" spans="1:13" x14ac:dyDescent="0.25">
      <c r="A35" s="116" t="s">
        <v>197</v>
      </c>
      <c r="B35" s="118">
        <v>1981</v>
      </c>
      <c r="C35" s="118">
        <v>2.5</v>
      </c>
      <c r="D35" s="121">
        <v>0.30299999999999999</v>
      </c>
      <c r="E35" s="118">
        <v>2.1970000000000001</v>
      </c>
      <c r="F35" s="244">
        <v>2.3999999999999994E-3</v>
      </c>
      <c r="G35" s="123">
        <v>1.7999999999999995E-3</v>
      </c>
      <c r="H35" s="123">
        <v>2.1945999999999999</v>
      </c>
      <c r="I35" s="121"/>
      <c r="J35" s="118" t="s">
        <v>24</v>
      </c>
      <c r="K35" s="118" t="s">
        <v>24</v>
      </c>
      <c r="L35" s="249" t="s">
        <v>342</v>
      </c>
      <c r="M35" s="249" t="s">
        <v>343</v>
      </c>
    </row>
    <row r="36" spans="1:13" ht="30" x14ac:dyDescent="0.25">
      <c r="A36" s="116" t="s">
        <v>199</v>
      </c>
      <c r="B36" s="118">
        <v>1981</v>
      </c>
      <c r="C36" s="118">
        <v>1.6</v>
      </c>
      <c r="D36" s="121">
        <v>0.25800000000000001</v>
      </c>
      <c r="E36" s="118">
        <v>1.3420000000000001</v>
      </c>
      <c r="F36" s="244">
        <v>1.6300000000000009E-2</v>
      </c>
      <c r="G36" s="123">
        <v>1.2225000000000007E-2</v>
      </c>
      <c r="H36" s="123">
        <v>1.3257000000000001</v>
      </c>
      <c r="I36" s="121"/>
      <c r="J36" s="118" t="s">
        <v>24</v>
      </c>
      <c r="K36" s="118" t="s">
        <v>24</v>
      </c>
      <c r="L36" s="249" t="s">
        <v>320</v>
      </c>
      <c r="M36" s="249" t="s">
        <v>321</v>
      </c>
    </row>
    <row r="37" spans="1:13" x14ac:dyDescent="0.25">
      <c r="A37" s="116" t="s">
        <v>206</v>
      </c>
      <c r="B37" s="122">
        <v>1979</v>
      </c>
      <c r="C37" s="118">
        <v>1.6</v>
      </c>
      <c r="D37" s="121">
        <v>0.379</v>
      </c>
      <c r="E37" s="118">
        <v>1.2210000000000001</v>
      </c>
      <c r="F37" s="244">
        <v>5.3000000000000018E-3</v>
      </c>
      <c r="G37" s="123">
        <v>3.9750000000000011E-3</v>
      </c>
      <c r="H37" s="123">
        <v>1.2157</v>
      </c>
      <c r="I37" s="121"/>
      <c r="J37" s="118" t="s">
        <v>24</v>
      </c>
      <c r="K37" s="118" t="s">
        <v>24</v>
      </c>
      <c r="L37" s="249" t="s">
        <v>308</v>
      </c>
      <c r="M37" s="249" t="s">
        <v>309</v>
      </c>
    </row>
    <row r="38" spans="1:13" x14ac:dyDescent="0.25">
      <c r="A38" s="116" t="s">
        <v>207</v>
      </c>
      <c r="B38" s="118">
        <v>1979</v>
      </c>
      <c r="C38" s="118">
        <v>1.6</v>
      </c>
      <c r="D38" s="121">
        <v>4.2000000000000003E-2</v>
      </c>
      <c r="E38" s="118">
        <v>1.5580000000000001</v>
      </c>
      <c r="F38" s="244">
        <v>0</v>
      </c>
      <c r="G38" s="123">
        <v>0</v>
      </c>
      <c r="H38" s="123">
        <v>1.5580000000000001</v>
      </c>
      <c r="I38" s="121"/>
      <c r="J38" s="118" t="s">
        <v>24</v>
      </c>
      <c r="K38" s="118" t="s">
        <v>24</v>
      </c>
      <c r="L38" s="249" t="s">
        <v>308</v>
      </c>
      <c r="M38" s="249" t="s">
        <v>309</v>
      </c>
    </row>
    <row r="39" spans="1:13" x14ac:dyDescent="0.25">
      <c r="A39" s="116" t="s">
        <v>210</v>
      </c>
      <c r="B39" s="118">
        <v>1982</v>
      </c>
      <c r="C39" s="118">
        <v>2.5</v>
      </c>
      <c r="D39" s="121">
        <v>0.57399999999999995</v>
      </c>
      <c r="E39" s="118">
        <v>1.9260000000000002</v>
      </c>
      <c r="F39" s="244">
        <v>5.5539000000000033E-2</v>
      </c>
      <c r="G39" s="123">
        <v>4.1654250000000025E-2</v>
      </c>
      <c r="H39" s="123">
        <v>1.8704610000000002</v>
      </c>
      <c r="I39" s="121"/>
      <c r="J39" s="118" t="s">
        <v>24</v>
      </c>
      <c r="K39" s="118" t="s">
        <v>24</v>
      </c>
      <c r="L39" s="249" t="s">
        <v>316</v>
      </c>
      <c r="M39" s="249" t="s">
        <v>317</v>
      </c>
    </row>
    <row r="40" spans="1:13" x14ac:dyDescent="0.25">
      <c r="A40" s="117" t="s">
        <v>68</v>
      </c>
      <c r="B40" s="118">
        <v>1975</v>
      </c>
      <c r="C40" s="118">
        <f>40+40</f>
        <v>80</v>
      </c>
      <c r="D40" s="121">
        <v>18.902999999999999</v>
      </c>
      <c r="E40" s="118">
        <v>23.323</v>
      </c>
      <c r="F40" s="245">
        <v>1.4100000000000001E-2</v>
      </c>
      <c r="G40" s="123">
        <v>1.0575000000000001E-2</v>
      </c>
      <c r="H40" s="123">
        <v>23.082900000000002</v>
      </c>
      <c r="I40" s="121"/>
      <c r="J40" s="118" t="s">
        <v>24</v>
      </c>
      <c r="K40" s="118" t="s">
        <v>24</v>
      </c>
      <c r="L40" s="249" t="s">
        <v>504</v>
      </c>
      <c r="M40" s="249" t="s">
        <v>505</v>
      </c>
    </row>
    <row r="41" spans="1:13" x14ac:dyDescent="0.25">
      <c r="A41" s="117" t="s">
        <v>69</v>
      </c>
      <c r="B41" s="118">
        <v>1994</v>
      </c>
      <c r="C41" s="118">
        <f>6.3+6.3</f>
        <v>12.6</v>
      </c>
      <c r="D41" s="121">
        <v>0.76900000000000002</v>
      </c>
      <c r="E41" s="123">
        <v>5.8460000000000001</v>
      </c>
      <c r="F41" s="245">
        <v>9.3299999999999994E-2</v>
      </c>
      <c r="G41" s="123">
        <v>6.9974999999999996E-2</v>
      </c>
      <c r="H41" s="123">
        <v>5.7526999999999999</v>
      </c>
      <c r="I41" s="121"/>
      <c r="J41" s="123" t="s">
        <v>24</v>
      </c>
      <c r="K41" s="123" t="s">
        <v>24</v>
      </c>
      <c r="L41" s="249" t="s">
        <v>416</v>
      </c>
      <c r="M41" s="249" t="s">
        <v>417</v>
      </c>
    </row>
    <row r="42" spans="1:13" x14ac:dyDescent="0.25">
      <c r="A42" s="117" t="s">
        <v>70</v>
      </c>
      <c r="B42" s="118" t="s">
        <v>518</v>
      </c>
      <c r="C42" s="118">
        <f>25+40</f>
        <v>65</v>
      </c>
      <c r="D42" s="121">
        <v>30.545999999999999</v>
      </c>
      <c r="E42" s="123">
        <v>-4.2959999999999994</v>
      </c>
      <c r="F42" s="245">
        <v>4.942899999999999</v>
      </c>
      <c r="G42" s="123">
        <v>3.7071749999999994</v>
      </c>
      <c r="H42" s="123">
        <v>0</v>
      </c>
      <c r="I42" s="248">
        <v>2017</v>
      </c>
      <c r="J42" s="123" t="s">
        <v>25</v>
      </c>
      <c r="K42" s="123" t="s">
        <v>25</v>
      </c>
      <c r="L42" s="249" t="s">
        <v>452</v>
      </c>
      <c r="M42" s="249" t="s">
        <v>453</v>
      </c>
    </row>
    <row r="43" spans="1:13" x14ac:dyDescent="0.25">
      <c r="A43" s="117" t="s">
        <v>71</v>
      </c>
      <c r="B43" s="118">
        <v>1978</v>
      </c>
      <c r="C43" s="118">
        <f>6.3+6.3</f>
        <v>12.6</v>
      </c>
      <c r="D43" s="121">
        <v>2.5630000000000002</v>
      </c>
      <c r="E43" s="123">
        <v>4.0519999999999996</v>
      </c>
      <c r="F43" s="245">
        <v>2.2624519999999997</v>
      </c>
      <c r="G43" s="123">
        <v>1.6968389999999998</v>
      </c>
      <c r="H43" s="123">
        <v>1.7895479999999999</v>
      </c>
      <c r="I43" s="121"/>
      <c r="J43" s="123" t="s">
        <v>24</v>
      </c>
      <c r="K43" s="123" t="s">
        <v>24</v>
      </c>
      <c r="L43" s="249" t="s">
        <v>408</v>
      </c>
      <c r="M43" s="249" t="s">
        <v>409</v>
      </c>
    </row>
    <row r="44" spans="1:13" ht="30" x14ac:dyDescent="0.25">
      <c r="A44" s="117" t="s">
        <v>72</v>
      </c>
      <c r="B44" s="118">
        <v>1974</v>
      </c>
      <c r="C44" s="118">
        <f>16+16</f>
        <v>32</v>
      </c>
      <c r="D44" s="121">
        <v>20.655000000000001</v>
      </c>
      <c r="E44" s="123">
        <v>-2.3550000000000004</v>
      </c>
      <c r="F44" s="245">
        <v>7.912300000000001</v>
      </c>
      <c r="G44" s="123">
        <v>5.9342250000000005</v>
      </c>
      <c r="H44" s="123">
        <v>0</v>
      </c>
      <c r="I44" s="248">
        <v>2013</v>
      </c>
      <c r="J44" s="123" t="s">
        <v>25</v>
      </c>
      <c r="K44" s="123" t="s">
        <v>25</v>
      </c>
      <c r="L44" s="249" t="s">
        <v>406</v>
      </c>
      <c r="M44" s="249" t="s">
        <v>407</v>
      </c>
    </row>
    <row r="45" spans="1:13" ht="30" x14ac:dyDescent="0.25">
      <c r="A45" s="117" t="s">
        <v>73</v>
      </c>
      <c r="B45" s="118">
        <v>1971</v>
      </c>
      <c r="C45" s="118">
        <f>6.3+4</f>
        <v>10.3</v>
      </c>
      <c r="D45" s="121">
        <v>5.2220000000000004</v>
      </c>
      <c r="E45" s="123">
        <v>-1.0220000000000002</v>
      </c>
      <c r="F45" s="245">
        <v>2.8454830000000002</v>
      </c>
      <c r="G45" s="123">
        <v>2.1341122500000003</v>
      </c>
      <c r="H45" s="123">
        <v>0</v>
      </c>
      <c r="I45" s="248">
        <v>2018</v>
      </c>
      <c r="J45" s="123" t="s">
        <v>25</v>
      </c>
      <c r="K45" s="123" t="s">
        <v>25</v>
      </c>
      <c r="L45" s="249" t="s">
        <v>414</v>
      </c>
      <c r="M45" s="249" t="s">
        <v>415</v>
      </c>
    </row>
    <row r="46" spans="1:13" ht="30" x14ac:dyDescent="0.25">
      <c r="A46" s="117" t="s">
        <v>74</v>
      </c>
      <c r="B46" s="118" t="s">
        <v>519</v>
      </c>
      <c r="C46" s="118">
        <f>40+63</f>
        <v>103</v>
      </c>
      <c r="D46" s="121">
        <v>45.007999999999996</v>
      </c>
      <c r="E46" s="118">
        <v>-3.0079999999999956</v>
      </c>
      <c r="F46" s="245">
        <v>12.247421000000001</v>
      </c>
      <c r="G46" s="123">
        <v>9.1855657500000003</v>
      </c>
      <c r="H46" s="123">
        <v>0</v>
      </c>
      <c r="I46" s="248">
        <v>2014</v>
      </c>
      <c r="J46" s="118" t="s">
        <v>25</v>
      </c>
      <c r="K46" s="118" t="s">
        <v>25</v>
      </c>
      <c r="L46" s="249" t="s">
        <v>460</v>
      </c>
      <c r="M46" s="249" t="s">
        <v>461</v>
      </c>
    </row>
    <row r="47" spans="1:13" ht="30" x14ac:dyDescent="0.25">
      <c r="A47" s="117" t="s">
        <v>75</v>
      </c>
      <c r="B47" s="118">
        <v>1982</v>
      </c>
      <c r="C47" s="118">
        <f>16+16</f>
        <v>32</v>
      </c>
      <c r="D47" s="121">
        <v>9.9499999999999993</v>
      </c>
      <c r="E47" s="118">
        <v>6.8500000000000014</v>
      </c>
      <c r="F47" s="245">
        <v>5.7800000000000004E-2</v>
      </c>
      <c r="G47" s="123">
        <v>4.335E-2</v>
      </c>
      <c r="H47" s="123">
        <v>6.7922000000000011</v>
      </c>
      <c r="I47" s="121"/>
      <c r="J47" s="118" t="s">
        <v>24</v>
      </c>
      <c r="K47" s="118" t="s">
        <v>24</v>
      </c>
      <c r="L47" s="249" t="s">
        <v>474</v>
      </c>
      <c r="M47" s="249" t="s">
        <v>475</v>
      </c>
    </row>
    <row r="48" spans="1:13" ht="30" x14ac:dyDescent="0.25">
      <c r="A48" s="117" t="s">
        <v>76</v>
      </c>
      <c r="B48" s="118">
        <v>1949</v>
      </c>
      <c r="C48" s="118">
        <f>25+25</f>
        <v>50</v>
      </c>
      <c r="D48" s="121">
        <v>28.414999999999999</v>
      </c>
      <c r="E48" s="123">
        <v>-2.1649999999999991</v>
      </c>
      <c r="F48" s="245">
        <v>0.68337700000000012</v>
      </c>
      <c r="G48" s="123">
        <v>0.51253275000000009</v>
      </c>
      <c r="H48" s="123">
        <v>0</v>
      </c>
      <c r="I48" s="248">
        <v>2017</v>
      </c>
      <c r="J48" s="123" t="s">
        <v>25</v>
      </c>
      <c r="K48" s="123" t="s">
        <v>25</v>
      </c>
      <c r="L48" s="249" t="s">
        <v>492</v>
      </c>
      <c r="M48" s="249" t="s">
        <v>493</v>
      </c>
    </row>
    <row r="49" spans="1:13" ht="30" x14ac:dyDescent="0.25">
      <c r="A49" s="117" t="s">
        <v>77</v>
      </c>
      <c r="B49" s="118">
        <v>1962</v>
      </c>
      <c r="C49" s="118">
        <f>16+25</f>
        <v>41</v>
      </c>
      <c r="D49" s="121">
        <v>15.818999999999999</v>
      </c>
      <c r="E49" s="118">
        <v>6.1810000000000009</v>
      </c>
      <c r="F49" s="245">
        <v>0.29902799999999996</v>
      </c>
      <c r="G49" s="123">
        <v>0.22427099999999997</v>
      </c>
      <c r="H49" s="123">
        <v>5.8819720000000011</v>
      </c>
      <c r="I49" s="121"/>
      <c r="J49" s="118" t="s">
        <v>24</v>
      </c>
      <c r="K49" s="118" t="s">
        <v>24</v>
      </c>
      <c r="L49" s="249" t="s">
        <v>482</v>
      </c>
      <c r="M49" s="249" t="s">
        <v>483</v>
      </c>
    </row>
    <row r="50" spans="1:13" x14ac:dyDescent="0.25">
      <c r="A50" s="117" t="s">
        <v>78</v>
      </c>
      <c r="B50" s="118" t="s">
        <v>520</v>
      </c>
      <c r="C50" s="118">
        <f>10+10</f>
        <v>20</v>
      </c>
      <c r="D50" s="121">
        <v>7.7930000000000001</v>
      </c>
      <c r="E50" s="123">
        <v>2.7069999999999999</v>
      </c>
      <c r="F50" s="245">
        <v>2.0436000000000001</v>
      </c>
      <c r="G50" s="123">
        <v>1.5327000000000002</v>
      </c>
      <c r="H50" s="123">
        <v>0.66339999999999932</v>
      </c>
      <c r="I50" s="121"/>
      <c r="J50" s="123" t="s">
        <v>24</v>
      </c>
      <c r="K50" s="123" t="s">
        <v>24</v>
      </c>
      <c r="L50" s="249" t="s">
        <v>418</v>
      </c>
      <c r="M50" s="249" t="s">
        <v>419</v>
      </c>
    </row>
    <row r="51" spans="1:13" ht="30" x14ac:dyDescent="0.25">
      <c r="A51" s="117" t="s">
        <v>79</v>
      </c>
      <c r="B51" s="118">
        <v>1989</v>
      </c>
      <c r="C51" s="118">
        <f>25+25</f>
        <v>50</v>
      </c>
      <c r="D51" s="121">
        <v>9.6319999999999997</v>
      </c>
      <c r="E51" s="118">
        <v>19.298000000000002</v>
      </c>
      <c r="F51" s="245">
        <v>0</v>
      </c>
      <c r="G51" s="123">
        <v>0</v>
      </c>
      <c r="H51" s="123">
        <v>18.948999999999998</v>
      </c>
      <c r="I51" s="121"/>
      <c r="J51" s="118" t="s">
        <v>24</v>
      </c>
      <c r="K51" s="118" t="s">
        <v>24</v>
      </c>
      <c r="L51" s="249" t="s">
        <v>496</v>
      </c>
      <c r="M51" s="249" t="s">
        <v>497</v>
      </c>
    </row>
    <row r="52" spans="1:13" x14ac:dyDescent="0.25">
      <c r="A52" s="117" t="s">
        <v>80</v>
      </c>
      <c r="B52" s="118" t="s">
        <v>521</v>
      </c>
      <c r="C52" s="118">
        <f>25+25</f>
        <v>50</v>
      </c>
      <c r="D52" s="121">
        <v>16.259</v>
      </c>
      <c r="E52" s="123">
        <v>9.9909999999999997</v>
      </c>
      <c r="F52" s="245">
        <v>5.9806139999999983</v>
      </c>
      <c r="G52" s="123">
        <v>4.4854604999999985</v>
      </c>
      <c r="H52" s="123">
        <v>4.0103860000000005</v>
      </c>
      <c r="I52" s="121"/>
      <c r="J52" s="123" t="s">
        <v>24</v>
      </c>
      <c r="K52" s="123" t="s">
        <v>24</v>
      </c>
      <c r="L52" s="249" t="s">
        <v>412</v>
      </c>
      <c r="M52" s="249" t="s">
        <v>413</v>
      </c>
    </row>
    <row r="53" spans="1:13" x14ac:dyDescent="0.25">
      <c r="A53" s="117" t="s">
        <v>81</v>
      </c>
      <c r="B53" s="118">
        <v>1970</v>
      </c>
      <c r="C53" s="118">
        <f>16+25</f>
        <v>41</v>
      </c>
      <c r="D53" s="121">
        <v>12.8</v>
      </c>
      <c r="E53" s="123">
        <v>4</v>
      </c>
      <c r="F53" s="245">
        <v>1.5633159999999997</v>
      </c>
      <c r="G53" s="123">
        <v>1.1724869999999998</v>
      </c>
      <c r="H53" s="123">
        <v>2.4366839999999996</v>
      </c>
      <c r="I53" s="121"/>
      <c r="J53" s="123" t="s">
        <v>24</v>
      </c>
      <c r="K53" s="123" t="s">
        <v>24</v>
      </c>
      <c r="L53" s="249" t="s">
        <v>506</v>
      </c>
      <c r="M53" s="249" t="s">
        <v>507</v>
      </c>
    </row>
    <row r="54" spans="1:13" ht="30" x14ac:dyDescent="0.25">
      <c r="A54" s="117" t="s">
        <v>82</v>
      </c>
      <c r="B54" s="118">
        <v>1980</v>
      </c>
      <c r="C54" s="118">
        <f>10+10</f>
        <v>20</v>
      </c>
      <c r="D54" s="121">
        <v>16.684000000000001</v>
      </c>
      <c r="E54" s="123">
        <v>-6.1840000000000011</v>
      </c>
      <c r="F54" s="245">
        <v>5.1075000000000008</v>
      </c>
      <c r="G54" s="123">
        <v>3.8306250000000004</v>
      </c>
      <c r="H54" s="123">
        <v>0</v>
      </c>
      <c r="I54" s="248">
        <v>2014</v>
      </c>
      <c r="J54" s="123" t="s">
        <v>25</v>
      </c>
      <c r="K54" s="123" t="s">
        <v>25</v>
      </c>
      <c r="L54" s="249" t="s">
        <v>402</v>
      </c>
      <c r="M54" s="249" t="s">
        <v>403</v>
      </c>
    </row>
    <row r="55" spans="1:13" ht="30" x14ac:dyDescent="0.25">
      <c r="A55" s="117" t="s">
        <v>83</v>
      </c>
      <c r="B55" s="118" t="s">
        <v>522</v>
      </c>
      <c r="C55" s="118">
        <f>10+16</f>
        <v>26</v>
      </c>
      <c r="D55" s="121">
        <v>7.4260000000000002</v>
      </c>
      <c r="E55" s="118">
        <v>4.4740000000000002</v>
      </c>
      <c r="F55" s="245">
        <v>1.017576</v>
      </c>
      <c r="G55" s="123">
        <v>0.76318200000000003</v>
      </c>
      <c r="H55" s="123">
        <v>3.4564240000000002</v>
      </c>
      <c r="I55" s="121"/>
      <c r="J55" s="118" t="s">
        <v>24</v>
      </c>
      <c r="K55" s="118" t="s">
        <v>24</v>
      </c>
      <c r="L55" s="249" t="s">
        <v>478</v>
      </c>
      <c r="M55" s="249" t="s">
        <v>479</v>
      </c>
    </row>
    <row r="56" spans="1:13" ht="30" x14ac:dyDescent="0.25">
      <c r="A56" s="117" t="s">
        <v>84</v>
      </c>
      <c r="B56" s="118">
        <v>1977</v>
      </c>
      <c r="C56" s="118">
        <f>16+16</f>
        <v>32</v>
      </c>
      <c r="D56" s="121">
        <v>10.289</v>
      </c>
      <c r="E56" s="118">
        <v>10.211000000000002</v>
      </c>
      <c r="F56" s="245">
        <v>5.400000000000002E-2</v>
      </c>
      <c r="G56" s="123">
        <v>4.0500000000000015E-2</v>
      </c>
      <c r="H56" s="123">
        <v>10.157</v>
      </c>
      <c r="I56" s="121"/>
      <c r="J56" s="118" t="s">
        <v>24</v>
      </c>
      <c r="K56" s="118" t="s">
        <v>24</v>
      </c>
      <c r="L56" s="249" t="s">
        <v>502</v>
      </c>
      <c r="M56" s="249" t="s">
        <v>503</v>
      </c>
    </row>
    <row r="57" spans="1:13" ht="30" x14ac:dyDescent="0.25">
      <c r="A57" s="117" t="s">
        <v>85</v>
      </c>
      <c r="B57" s="118" t="s">
        <v>523</v>
      </c>
      <c r="C57" s="118">
        <f>6.3+2.5</f>
        <v>8.8000000000000007</v>
      </c>
      <c r="D57" s="121">
        <v>0.80600000000000005</v>
      </c>
      <c r="E57" s="123">
        <v>1.819</v>
      </c>
      <c r="F57" s="245">
        <v>0.37380000000000008</v>
      </c>
      <c r="G57" s="123">
        <v>0.28035000000000004</v>
      </c>
      <c r="H57" s="123">
        <v>1.4451999999999998</v>
      </c>
      <c r="I57" s="121"/>
      <c r="J57" s="123" t="s">
        <v>24</v>
      </c>
      <c r="K57" s="123" t="s">
        <v>24</v>
      </c>
      <c r="L57" s="249" t="s">
        <v>470</v>
      </c>
      <c r="M57" s="249" t="s">
        <v>471</v>
      </c>
    </row>
    <row r="58" spans="1:13" ht="30" x14ac:dyDescent="0.25">
      <c r="A58" s="117" t="s">
        <v>86</v>
      </c>
      <c r="B58" s="118" t="s">
        <v>524</v>
      </c>
      <c r="C58" s="118">
        <f>16+16</f>
        <v>32</v>
      </c>
      <c r="D58" s="121">
        <v>14.723000000000001</v>
      </c>
      <c r="E58" s="123">
        <v>2.077</v>
      </c>
      <c r="F58" s="245">
        <v>0.79799999999999993</v>
      </c>
      <c r="G58" s="123">
        <v>0.59849999999999992</v>
      </c>
      <c r="H58" s="123">
        <v>1.2789999999999999</v>
      </c>
      <c r="I58" s="121"/>
      <c r="J58" s="123" t="s">
        <v>24</v>
      </c>
      <c r="K58" s="123" t="s">
        <v>24</v>
      </c>
      <c r="L58" s="249" t="s">
        <v>400</v>
      </c>
      <c r="M58" s="249" t="s">
        <v>401</v>
      </c>
    </row>
    <row r="59" spans="1:13" ht="30" x14ac:dyDescent="0.25">
      <c r="A59" s="117" t="s">
        <v>87</v>
      </c>
      <c r="B59" s="118">
        <v>1979</v>
      </c>
      <c r="C59" s="118">
        <f>10+16</f>
        <v>26</v>
      </c>
      <c r="D59" s="121">
        <v>5.8</v>
      </c>
      <c r="E59" s="118">
        <v>5.569</v>
      </c>
      <c r="F59" s="245">
        <v>2.3242859999999999</v>
      </c>
      <c r="G59" s="123">
        <v>1.7432144999999999</v>
      </c>
      <c r="H59" s="123">
        <v>5.569</v>
      </c>
      <c r="I59" s="121"/>
      <c r="J59" s="118" t="s">
        <v>24</v>
      </c>
      <c r="K59" s="118" t="s">
        <v>24</v>
      </c>
      <c r="L59" s="249" t="s">
        <v>500</v>
      </c>
      <c r="M59" s="249" t="s">
        <v>501</v>
      </c>
    </row>
    <row r="60" spans="1:13" ht="30" x14ac:dyDescent="0.25">
      <c r="A60" s="117" t="s">
        <v>88</v>
      </c>
      <c r="B60" s="118" t="s">
        <v>525</v>
      </c>
      <c r="C60" s="118">
        <f>10+10</f>
        <v>20</v>
      </c>
      <c r="D60" s="121">
        <v>3.69</v>
      </c>
      <c r="E60" s="123">
        <v>6.8100000000000005</v>
      </c>
      <c r="F60" s="245">
        <v>3.2215449999999999</v>
      </c>
      <c r="G60" s="123">
        <v>2.4161587500000001</v>
      </c>
      <c r="H60" s="123">
        <v>3.5884549999999997</v>
      </c>
      <c r="I60" s="121"/>
      <c r="J60" s="123" t="s">
        <v>24</v>
      </c>
      <c r="K60" s="123" t="s">
        <v>24</v>
      </c>
      <c r="L60" s="249" t="s">
        <v>404</v>
      </c>
      <c r="M60" s="249" t="s">
        <v>405</v>
      </c>
    </row>
    <row r="61" spans="1:13" ht="30" x14ac:dyDescent="0.25">
      <c r="A61" s="117" t="s">
        <v>89</v>
      </c>
      <c r="B61" s="118">
        <v>1975</v>
      </c>
      <c r="C61" s="118">
        <f>6.3+6.3</f>
        <v>12.6</v>
      </c>
      <c r="D61" s="121">
        <v>3.032</v>
      </c>
      <c r="E61" s="123">
        <v>3.5830000000000002</v>
      </c>
      <c r="F61" s="245">
        <v>0.42347699999999999</v>
      </c>
      <c r="G61" s="123">
        <v>0.31760774999999997</v>
      </c>
      <c r="H61" s="123">
        <v>3.1595230000000001</v>
      </c>
      <c r="I61" s="121"/>
      <c r="J61" s="123" t="s">
        <v>24</v>
      </c>
      <c r="K61" s="123" t="s">
        <v>24</v>
      </c>
      <c r="L61" s="249" t="s">
        <v>430</v>
      </c>
      <c r="M61" s="249" t="s">
        <v>431</v>
      </c>
    </row>
    <row r="62" spans="1:13" x14ac:dyDescent="0.25">
      <c r="A62" s="117" t="s">
        <v>91</v>
      </c>
      <c r="B62" s="118">
        <v>1978</v>
      </c>
      <c r="C62" s="118">
        <f>16+16</f>
        <v>32</v>
      </c>
      <c r="D62" s="121">
        <v>5.6449999999999996</v>
      </c>
      <c r="E62" s="123">
        <v>11.155000000000001</v>
      </c>
      <c r="F62" s="245">
        <v>1.2746</v>
      </c>
      <c r="G62" s="123">
        <v>0.95594999999999997</v>
      </c>
      <c r="H62" s="123">
        <v>9.8804000000000016</v>
      </c>
      <c r="I62" s="121"/>
      <c r="J62" s="123" t="s">
        <v>24</v>
      </c>
      <c r="K62" s="123" t="s">
        <v>24</v>
      </c>
      <c r="L62" s="249" t="s">
        <v>398</v>
      </c>
      <c r="M62" s="249" t="s">
        <v>399</v>
      </c>
    </row>
    <row r="63" spans="1:13" x14ac:dyDescent="0.25">
      <c r="A63" s="117" t="s">
        <v>93</v>
      </c>
      <c r="B63" s="118" t="s">
        <v>526</v>
      </c>
      <c r="C63" s="118">
        <f>40+25+40</f>
        <v>105</v>
      </c>
      <c r="D63" s="121">
        <v>40.159999999999997</v>
      </c>
      <c r="E63" s="123">
        <v>28.090000000000003</v>
      </c>
      <c r="F63" s="245">
        <v>27.642875999999998</v>
      </c>
      <c r="G63" s="123">
        <v>20.732156999999997</v>
      </c>
      <c r="H63" s="123">
        <v>0.4471240000000023</v>
      </c>
      <c r="I63" s="121"/>
      <c r="J63" s="123" t="s">
        <v>24</v>
      </c>
      <c r="K63" s="123" t="s">
        <v>24</v>
      </c>
      <c r="L63" s="249" t="s">
        <v>420</v>
      </c>
      <c r="M63" s="249" t="s">
        <v>421</v>
      </c>
    </row>
    <row r="64" spans="1:13" ht="30" x14ac:dyDescent="0.25">
      <c r="A64" s="117" t="s">
        <v>94</v>
      </c>
      <c r="B64" s="118">
        <v>1958</v>
      </c>
      <c r="C64" s="118">
        <f>40+31.5+40</f>
        <v>111.5</v>
      </c>
      <c r="D64" s="121">
        <v>31.151</v>
      </c>
      <c r="E64" s="123">
        <v>43.924000000000007</v>
      </c>
      <c r="F64" s="245">
        <v>1.7524</v>
      </c>
      <c r="G64" s="123">
        <v>1.3143</v>
      </c>
      <c r="H64" s="123">
        <v>42.171600000000005</v>
      </c>
      <c r="I64" s="121"/>
      <c r="J64" s="123" t="s">
        <v>24</v>
      </c>
      <c r="K64" s="123" t="s">
        <v>24</v>
      </c>
      <c r="L64" s="249" t="s">
        <v>456</v>
      </c>
      <c r="M64" s="249" t="s">
        <v>457</v>
      </c>
    </row>
    <row r="65" spans="1:13" x14ac:dyDescent="0.25">
      <c r="A65" s="117" t="s">
        <v>95</v>
      </c>
      <c r="B65" s="118">
        <v>1983</v>
      </c>
      <c r="C65" s="118">
        <f>10+10</f>
        <v>20</v>
      </c>
      <c r="D65" s="121">
        <v>4.9539999999999997</v>
      </c>
      <c r="E65" s="123">
        <v>5.5460000000000003</v>
      </c>
      <c r="F65" s="245">
        <v>1.8630039999999999</v>
      </c>
      <c r="G65" s="123">
        <v>1.3972529999999999</v>
      </c>
      <c r="H65" s="123">
        <v>3.6829960000000002</v>
      </c>
      <c r="I65" s="121"/>
      <c r="J65" s="123" t="s">
        <v>24</v>
      </c>
      <c r="K65" s="123" t="s">
        <v>24</v>
      </c>
      <c r="L65" s="249" t="s">
        <v>410</v>
      </c>
      <c r="M65" s="249" t="s">
        <v>411</v>
      </c>
    </row>
    <row r="66" spans="1:13" x14ac:dyDescent="0.25">
      <c r="A66" s="117" t="s">
        <v>96</v>
      </c>
      <c r="B66" s="118">
        <v>1964</v>
      </c>
      <c r="C66" s="118">
        <f>20+20</f>
        <v>40</v>
      </c>
      <c r="D66" s="121">
        <v>16.117999999999999</v>
      </c>
      <c r="E66" s="123">
        <v>4.8820000000000014</v>
      </c>
      <c r="F66" s="245">
        <v>1.7161999999999999</v>
      </c>
      <c r="G66" s="123">
        <v>1.28715</v>
      </c>
      <c r="H66" s="123">
        <v>3.1658000000000008</v>
      </c>
      <c r="I66" s="121"/>
      <c r="J66" s="123" t="s">
        <v>24</v>
      </c>
      <c r="K66" s="123" t="s">
        <v>24</v>
      </c>
      <c r="L66" s="249" t="s">
        <v>442</v>
      </c>
      <c r="M66" s="249" t="s">
        <v>443</v>
      </c>
    </row>
    <row r="67" spans="1:13" ht="30" x14ac:dyDescent="0.25">
      <c r="A67" s="117" t="s">
        <v>98</v>
      </c>
      <c r="B67" s="118">
        <v>1990</v>
      </c>
      <c r="C67" s="118">
        <f>16+16</f>
        <v>32</v>
      </c>
      <c r="D67" s="121">
        <v>11.785</v>
      </c>
      <c r="E67" s="118">
        <v>9.8150000000000013</v>
      </c>
      <c r="F67" s="245">
        <v>0.45590000000000003</v>
      </c>
      <c r="G67" s="123">
        <v>0.34192500000000003</v>
      </c>
      <c r="H67" s="123">
        <v>9.3591000000000015</v>
      </c>
      <c r="I67" s="121"/>
      <c r="J67" s="118" t="s">
        <v>24</v>
      </c>
      <c r="K67" s="118" t="s">
        <v>24</v>
      </c>
      <c r="L67" s="249" t="s">
        <v>508</v>
      </c>
      <c r="M67" s="249" t="s">
        <v>509</v>
      </c>
    </row>
    <row r="68" spans="1:13" x14ac:dyDescent="0.25">
      <c r="A68" s="117" t="s">
        <v>100</v>
      </c>
      <c r="B68" s="118" t="s">
        <v>527</v>
      </c>
      <c r="C68" s="118">
        <f>16+25</f>
        <v>41</v>
      </c>
      <c r="D68" s="121">
        <v>15.728</v>
      </c>
      <c r="E68" s="123">
        <v>1.072000000000001</v>
      </c>
      <c r="F68" s="245">
        <v>0.88990000000000002</v>
      </c>
      <c r="G68" s="123">
        <v>0.66742500000000005</v>
      </c>
      <c r="H68" s="123">
        <v>0.18210000000000193</v>
      </c>
      <c r="I68" s="121"/>
      <c r="J68" s="123" t="s">
        <v>24</v>
      </c>
      <c r="K68" s="123" t="s">
        <v>24</v>
      </c>
      <c r="L68" s="249" t="s">
        <v>424</v>
      </c>
      <c r="M68" s="249" t="s">
        <v>425</v>
      </c>
    </row>
    <row r="69" spans="1:13" x14ac:dyDescent="0.25">
      <c r="A69" s="116" t="s">
        <v>154</v>
      </c>
      <c r="B69" s="118">
        <v>1981</v>
      </c>
      <c r="C69" s="118">
        <f>6.3+2.5</f>
        <v>8.8000000000000007</v>
      </c>
      <c r="D69" s="121">
        <v>0.98499999999999999</v>
      </c>
      <c r="E69" s="123">
        <v>1.6400000000000001</v>
      </c>
      <c r="F69" s="244">
        <v>2.0000000000000052E-3</v>
      </c>
      <c r="G69" s="123">
        <v>1.5000000000000039E-3</v>
      </c>
      <c r="H69" s="123">
        <v>1.6379999999999999</v>
      </c>
      <c r="I69" s="121"/>
      <c r="J69" s="123" t="s">
        <v>24</v>
      </c>
      <c r="K69" s="123" t="s">
        <v>24</v>
      </c>
      <c r="L69" s="249" t="s">
        <v>450</v>
      </c>
      <c r="M69" s="249" t="s">
        <v>451</v>
      </c>
    </row>
    <row r="70" spans="1:13" ht="30" x14ac:dyDescent="0.25">
      <c r="A70" s="116" t="s">
        <v>155</v>
      </c>
      <c r="B70" s="118">
        <v>1969</v>
      </c>
      <c r="C70" s="118">
        <f>16+25</f>
        <v>41</v>
      </c>
      <c r="D70" s="121">
        <v>4.165</v>
      </c>
      <c r="E70" s="123">
        <v>12.635000000000002</v>
      </c>
      <c r="F70" s="244">
        <v>0</v>
      </c>
      <c r="G70" s="123">
        <v>0</v>
      </c>
      <c r="H70" s="123">
        <v>12.635000000000002</v>
      </c>
      <c r="I70" s="121"/>
      <c r="J70" s="123" t="s">
        <v>24</v>
      </c>
      <c r="K70" s="123" t="s">
        <v>24</v>
      </c>
      <c r="L70" s="249" t="s">
        <v>464</v>
      </c>
      <c r="M70" s="249" t="s">
        <v>465</v>
      </c>
    </row>
    <row r="71" spans="1:13" x14ac:dyDescent="0.25">
      <c r="A71" s="116" t="s">
        <v>156</v>
      </c>
      <c r="B71" s="118">
        <v>1972</v>
      </c>
      <c r="C71" s="118">
        <f>4+6.3</f>
        <v>10.3</v>
      </c>
      <c r="D71" s="121">
        <v>1.452</v>
      </c>
      <c r="E71" s="123">
        <v>2.7480000000000002</v>
      </c>
      <c r="F71" s="244">
        <v>0.30739999999999995</v>
      </c>
      <c r="G71" s="123">
        <v>0.23054999999999998</v>
      </c>
      <c r="H71" s="123">
        <v>2.4406000000000003</v>
      </c>
      <c r="I71" s="121"/>
      <c r="J71" s="123" t="s">
        <v>24</v>
      </c>
      <c r="K71" s="123" t="s">
        <v>24</v>
      </c>
      <c r="L71" s="249" t="s">
        <v>486</v>
      </c>
      <c r="M71" s="249" t="s">
        <v>487</v>
      </c>
    </row>
    <row r="72" spans="1:13" ht="30" x14ac:dyDescent="0.25">
      <c r="A72" s="116" t="s">
        <v>157</v>
      </c>
      <c r="B72" s="118">
        <v>1989</v>
      </c>
      <c r="C72" s="118">
        <f>10+6.3</f>
        <v>16.3</v>
      </c>
      <c r="D72" s="121">
        <v>2.2000000000000002</v>
      </c>
      <c r="E72" s="118">
        <v>4.7469999999999999</v>
      </c>
      <c r="F72" s="244">
        <v>3.5482</v>
      </c>
      <c r="G72" s="123">
        <v>2.6611500000000001</v>
      </c>
      <c r="H72" s="123">
        <v>1.1988000000000003</v>
      </c>
      <c r="I72" s="121"/>
      <c r="J72" s="118" t="s">
        <v>24</v>
      </c>
      <c r="K72" s="118" t="s">
        <v>24</v>
      </c>
      <c r="L72" s="249" t="s">
        <v>472</v>
      </c>
      <c r="M72" s="249" t="s">
        <v>473</v>
      </c>
    </row>
    <row r="73" spans="1:13" x14ac:dyDescent="0.25">
      <c r="A73" s="116" t="s">
        <v>158</v>
      </c>
      <c r="B73" s="118">
        <v>1978</v>
      </c>
      <c r="C73" s="118">
        <f>40+40</f>
        <v>80</v>
      </c>
      <c r="D73" s="121">
        <v>25.614000000000001</v>
      </c>
      <c r="E73" s="123">
        <v>16.385999999999999</v>
      </c>
      <c r="F73" s="244">
        <v>6.7499999999999991E-2</v>
      </c>
      <c r="G73" s="123">
        <v>5.0624999999999989E-2</v>
      </c>
      <c r="H73" s="123">
        <v>16.3185</v>
      </c>
      <c r="I73" s="121"/>
      <c r="J73" s="123" t="s">
        <v>24</v>
      </c>
      <c r="K73" s="123" t="s">
        <v>24</v>
      </c>
      <c r="L73" s="249" t="s">
        <v>454</v>
      </c>
      <c r="M73" s="249" t="s">
        <v>455</v>
      </c>
    </row>
    <row r="74" spans="1:13" x14ac:dyDescent="0.25">
      <c r="A74" s="116" t="s">
        <v>162</v>
      </c>
      <c r="B74" s="118">
        <v>1983</v>
      </c>
      <c r="C74" s="118">
        <f>10+6.3</f>
        <v>16.3</v>
      </c>
      <c r="D74" s="121">
        <v>4.0170000000000003</v>
      </c>
      <c r="E74" s="123">
        <v>2.5979999999999999</v>
      </c>
      <c r="F74" s="244">
        <v>0.47255400000000025</v>
      </c>
      <c r="G74" s="123">
        <v>0.35441550000000022</v>
      </c>
      <c r="H74" s="123">
        <v>2.1254459999999993</v>
      </c>
      <c r="I74" s="121"/>
      <c r="J74" s="123" t="s">
        <v>24</v>
      </c>
      <c r="K74" s="123" t="s">
        <v>24</v>
      </c>
      <c r="L74" s="249" t="s">
        <v>480</v>
      </c>
      <c r="M74" s="249" t="s">
        <v>481</v>
      </c>
    </row>
    <row r="75" spans="1:13" x14ac:dyDescent="0.25">
      <c r="A75" s="117" t="s">
        <v>163</v>
      </c>
      <c r="B75" s="118" t="s">
        <v>528</v>
      </c>
      <c r="C75" s="118">
        <f>10+10</f>
        <v>20</v>
      </c>
      <c r="D75" s="121">
        <v>10.879</v>
      </c>
      <c r="E75" s="123">
        <v>-0.37899999999999956</v>
      </c>
      <c r="F75" s="245">
        <v>6.4999999999999997E-3</v>
      </c>
      <c r="G75" s="123">
        <v>4.875E-3</v>
      </c>
      <c r="H75" s="123">
        <v>0</v>
      </c>
      <c r="I75" s="248">
        <v>2018</v>
      </c>
      <c r="J75" s="123" t="s">
        <v>25</v>
      </c>
      <c r="K75" s="123" t="s">
        <v>25</v>
      </c>
      <c r="L75" s="249" t="s">
        <v>476</v>
      </c>
      <c r="M75" s="249" t="s">
        <v>477</v>
      </c>
    </row>
    <row r="76" spans="1:13" x14ac:dyDescent="0.25">
      <c r="A76" s="116" t="s">
        <v>164</v>
      </c>
      <c r="B76" s="118">
        <v>1977</v>
      </c>
      <c r="C76" s="118">
        <f>16+16</f>
        <v>32</v>
      </c>
      <c r="D76" s="121">
        <v>12.585000000000001</v>
      </c>
      <c r="E76" s="118">
        <v>5.8550000000000004</v>
      </c>
      <c r="F76" s="244">
        <v>2.3699999999999999E-2</v>
      </c>
      <c r="G76" s="123">
        <v>1.7774999999999999E-2</v>
      </c>
      <c r="H76" s="123">
        <v>5.8313000000000024</v>
      </c>
      <c r="I76" s="121"/>
      <c r="J76" s="118" t="s">
        <v>24</v>
      </c>
      <c r="K76" s="118" t="s">
        <v>24</v>
      </c>
      <c r="L76" s="249" t="s">
        <v>494</v>
      </c>
      <c r="M76" s="249" t="s">
        <v>495</v>
      </c>
    </row>
    <row r="77" spans="1:13" x14ac:dyDescent="0.25">
      <c r="A77" s="116" t="s">
        <v>166</v>
      </c>
      <c r="B77" s="118">
        <v>1960</v>
      </c>
      <c r="C77" s="118">
        <f>10+10</f>
        <v>20</v>
      </c>
      <c r="D77" s="121">
        <v>3.5369999999999999</v>
      </c>
      <c r="E77" s="118">
        <v>7.68</v>
      </c>
      <c r="F77" s="244">
        <v>1.3599999999999999E-2</v>
      </c>
      <c r="G77" s="123">
        <v>1.0199999999999999E-2</v>
      </c>
      <c r="H77" s="123">
        <v>7.68</v>
      </c>
      <c r="I77" s="121"/>
      <c r="J77" s="118" t="s">
        <v>24</v>
      </c>
      <c r="K77" s="118" t="s">
        <v>24</v>
      </c>
      <c r="L77" s="249" t="s">
        <v>466</v>
      </c>
      <c r="M77" s="249" t="s">
        <v>467</v>
      </c>
    </row>
    <row r="78" spans="1:13" ht="30" x14ac:dyDescent="0.25">
      <c r="A78" s="116" t="s">
        <v>167</v>
      </c>
      <c r="B78" s="118">
        <v>1977</v>
      </c>
      <c r="C78" s="118">
        <f>2.5+2.5</f>
        <v>5</v>
      </c>
      <c r="D78" s="121">
        <v>1.0629999999999999</v>
      </c>
      <c r="E78" s="123">
        <v>1.5620000000000001</v>
      </c>
      <c r="F78" s="244">
        <v>0.52790000000000004</v>
      </c>
      <c r="G78" s="123">
        <v>0.39592500000000003</v>
      </c>
      <c r="H78" s="123">
        <v>1.0341</v>
      </c>
      <c r="I78" s="121"/>
      <c r="J78" s="123" t="s">
        <v>24</v>
      </c>
      <c r="K78" s="123" t="s">
        <v>24</v>
      </c>
      <c r="L78" s="249" t="s">
        <v>428</v>
      </c>
      <c r="M78" s="249" t="s">
        <v>429</v>
      </c>
    </row>
    <row r="79" spans="1:13" x14ac:dyDescent="0.25">
      <c r="A79" s="116" t="s">
        <v>169</v>
      </c>
      <c r="B79" s="118">
        <v>1969</v>
      </c>
      <c r="C79" s="118">
        <f>16+16+16</f>
        <v>48</v>
      </c>
      <c r="D79" s="121">
        <v>13.156000000000001</v>
      </c>
      <c r="E79" s="118">
        <v>22.244</v>
      </c>
      <c r="F79" s="244">
        <v>1.8787780000000003</v>
      </c>
      <c r="G79" s="123">
        <v>1.4090835000000002</v>
      </c>
      <c r="H79" s="123">
        <v>20.365222000000003</v>
      </c>
      <c r="I79" s="121"/>
      <c r="J79" s="118" t="s">
        <v>24</v>
      </c>
      <c r="K79" s="118" t="s">
        <v>24</v>
      </c>
      <c r="L79" s="249" t="s">
        <v>468</v>
      </c>
      <c r="M79" s="249" t="s">
        <v>469</v>
      </c>
    </row>
    <row r="80" spans="1:13" ht="30" x14ac:dyDescent="0.25">
      <c r="A80" s="116" t="s">
        <v>170</v>
      </c>
      <c r="B80" s="118" t="s">
        <v>529</v>
      </c>
      <c r="C80" s="118">
        <f>25+25</f>
        <v>50</v>
      </c>
      <c r="D80" s="121">
        <v>10.948</v>
      </c>
      <c r="E80" s="118">
        <v>17.512</v>
      </c>
      <c r="F80" s="244">
        <v>0.96303999999999956</v>
      </c>
      <c r="G80" s="123">
        <v>0.7222799999999997</v>
      </c>
      <c r="H80" s="123">
        <v>16.548960000000001</v>
      </c>
      <c r="I80" s="121"/>
      <c r="J80" s="118" t="s">
        <v>24</v>
      </c>
      <c r="K80" s="118" t="s">
        <v>24</v>
      </c>
      <c r="L80" s="249" t="s">
        <v>490</v>
      </c>
      <c r="M80" s="249" t="s">
        <v>491</v>
      </c>
    </row>
    <row r="81" spans="1:13" x14ac:dyDescent="0.25">
      <c r="A81" s="116" t="s">
        <v>171</v>
      </c>
      <c r="B81" s="118">
        <v>1984</v>
      </c>
      <c r="C81" s="118">
        <f>2.5+2.5</f>
        <v>5</v>
      </c>
      <c r="D81" s="121">
        <v>0.35899999999999999</v>
      </c>
      <c r="E81" s="123">
        <v>2.266</v>
      </c>
      <c r="F81" s="244">
        <v>2.0511999999999997</v>
      </c>
      <c r="G81" s="123">
        <v>1.5383999999999998</v>
      </c>
      <c r="H81" s="123">
        <v>0.21480000000000032</v>
      </c>
      <c r="I81" s="121"/>
      <c r="J81" s="123" t="s">
        <v>24</v>
      </c>
      <c r="K81" s="123" t="s">
        <v>24</v>
      </c>
      <c r="L81" s="249" t="s">
        <v>458</v>
      </c>
      <c r="M81" s="249" t="s">
        <v>459</v>
      </c>
    </row>
    <row r="82" spans="1:13" ht="30" x14ac:dyDescent="0.25">
      <c r="A82" s="116" t="s">
        <v>172</v>
      </c>
      <c r="B82" s="118">
        <v>1974</v>
      </c>
      <c r="C82" s="118">
        <f>16+16</f>
        <v>32</v>
      </c>
      <c r="D82" s="121">
        <v>13.315999999999999</v>
      </c>
      <c r="E82" s="118">
        <v>7.5750000000000011</v>
      </c>
      <c r="F82" s="244">
        <v>3.3300000000000031E-2</v>
      </c>
      <c r="G82" s="123">
        <v>2.4975000000000025E-2</v>
      </c>
      <c r="H82" s="123">
        <v>7.5750000000000011</v>
      </c>
      <c r="I82" s="121"/>
      <c r="J82" s="118" t="s">
        <v>24</v>
      </c>
      <c r="K82" s="118" t="s">
        <v>24</v>
      </c>
      <c r="L82" s="249" t="s">
        <v>436</v>
      </c>
      <c r="M82" s="249" t="s">
        <v>437</v>
      </c>
    </row>
    <row r="83" spans="1:13" ht="30" x14ac:dyDescent="0.25">
      <c r="A83" s="116" t="s">
        <v>173</v>
      </c>
      <c r="B83" s="118">
        <v>1982</v>
      </c>
      <c r="C83" s="118">
        <f>6.3+6.3</f>
        <v>12.6</v>
      </c>
      <c r="D83" s="121">
        <v>0.89600000000000002</v>
      </c>
      <c r="E83" s="123">
        <v>5.7190000000000003</v>
      </c>
      <c r="F83" s="244">
        <v>0.32251400000000002</v>
      </c>
      <c r="G83" s="123">
        <v>0.24188550000000003</v>
      </c>
      <c r="H83" s="123">
        <v>5.3964860000000003</v>
      </c>
      <c r="I83" s="121"/>
      <c r="J83" s="123" t="s">
        <v>24</v>
      </c>
      <c r="K83" s="123" t="s">
        <v>24</v>
      </c>
      <c r="L83" s="249" t="s">
        <v>488</v>
      </c>
      <c r="M83" s="249" t="s">
        <v>489</v>
      </c>
    </row>
    <row r="84" spans="1:13" x14ac:dyDescent="0.25">
      <c r="A84" s="116" t="s">
        <v>174</v>
      </c>
      <c r="B84" s="118">
        <v>1976</v>
      </c>
      <c r="C84" s="118">
        <f>16+16</f>
        <v>32</v>
      </c>
      <c r="D84" s="121">
        <v>18.196999999999999</v>
      </c>
      <c r="E84" s="118">
        <v>-1.3969999999999985</v>
      </c>
      <c r="F84" s="244">
        <v>0</v>
      </c>
      <c r="G84" s="123">
        <v>0</v>
      </c>
      <c r="H84" s="123">
        <v>0</v>
      </c>
      <c r="I84" s="248">
        <v>2017</v>
      </c>
      <c r="J84" s="118" t="s">
        <v>25</v>
      </c>
      <c r="K84" s="118" t="s">
        <v>25</v>
      </c>
      <c r="L84" s="249" t="s">
        <v>440</v>
      </c>
      <c r="M84" s="249" t="s">
        <v>441</v>
      </c>
    </row>
    <row r="85" spans="1:13" x14ac:dyDescent="0.25">
      <c r="A85" s="116" t="s">
        <v>175</v>
      </c>
      <c r="B85" s="118">
        <v>1972</v>
      </c>
      <c r="C85" s="118">
        <f>16+10</f>
        <v>26</v>
      </c>
      <c r="D85" s="121">
        <v>8.8989999999999991</v>
      </c>
      <c r="E85" s="123">
        <v>1.6010000000000009</v>
      </c>
      <c r="F85" s="244">
        <v>0.9771000000000003</v>
      </c>
      <c r="G85" s="123">
        <v>0.73282500000000028</v>
      </c>
      <c r="H85" s="123">
        <v>0.62390000000000079</v>
      </c>
      <c r="I85" s="121"/>
      <c r="J85" s="123" t="s">
        <v>24</v>
      </c>
      <c r="K85" s="123" t="s">
        <v>24</v>
      </c>
      <c r="L85" s="249" t="s">
        <v>484</v>
      </c>
      <c r="M85" s="249" t="s">
        <v>485</v>
      </c>
    </row>
    <row r="86" spans="1:13" x14ac:dyDescent="0.25">
      <c r="A86" s="116" t="s">
        <v>177</v>
      </c>
      <c r="B86" s="118">
        <v>1981</v>
      </c>
      <c r="C86" s="118">
        <f>6.3+6.3</f>
        <v>12.6</v>
      </c>
      <c r="D86" s="121">
        <v>0.91800000000000004</v>
      </c>
      <c r="E86" s="123">
        <v>5.6970000000000001</v>
      </c>
      <c r="F86" s="244">
        <v>1.8599999999999995E-2</v>
      </c>
      <c r="G86" s="123">
        <v>1.3949999999999997E-2</v>
      </c>
      <c r="H86" s="123">
        <v>5.6783999999999999</v>
      </c>
      <c r="I86" s="121"/>
      <c r="J86" s="123" t="s">
        <v>24</v>
      </c>
      <c r="K86" s="123" t="s">
        <v>24</v>
      </c>
      <c r="L86" s="249" t="s">
        <v>432</v>
      </c>
      <c r="M86" s="249" t="s">
        <v>433</v>
      </c>
    </row>
    <row r="87" spans="1:13" ht="30" x14ac:dyDescent="0.25">
      <c r="A87" s="116" t="s">
        <v>176</v>
      </c>
      <c r="B87" s="118">
        <v>2006</v>
      </c>
      <c r="C87" s="118">
        <f>16+16</f>
        <v>32</v>
      </c>
      <c r="D87" s="121">
        <v>14.661999999999999</v>
      </c>
      <c r="E87" s="118">
        <v>8.588000000000001</v>
      </c>
      <c r="F87" s="244">
        <v>2.1712999999999996</v>
      </c>
      <c r="G87" s="123">
        <v>1.6284749999999997</v>
      </c>
      <c r="H87" s="123">
        <v>6.4167000000000023</v>
      </c>
      <c r="I87" s="121"/>
      <c r="J87" s="118" t="s">
        <v>24</v>
      </c>
      <c r="K87" s="118" t="s">
        <v>24</v>
      </c>
      <c r="L87" s="249" t="s">
        <v>448</v>
      </c>
      <c r="M87" s="249" t="s">
        <v>449</v>
      </c>
    </row>
    <row r="88" spans="1:13" ht="30" x14ac:dyDescent="0.25">
      <c r="A88" s="116" t="s">
        <v>103</v>
      </c>
      <c r="B88" s="118">
        <v>1978</v>
      </c>
      <c r="C88" s="118">
        <f t="shared" ref="C88:C89" si="0">6.3+6.3</f>
        <v>12.6</v>
      </c>
      <c r="D88" s="121">
        <v>2.964</v>
      </c>
      <c r="E88" s="118">
        <v>3.6510000000000002</v>
      </c>
      <c r="F88" s="244">
        <v>4.2999999999999997E-2</v>
      </c>
      <c r="G88" s="123">
        <v>3.2250000000000001E-2</v>
      </c>
      <c r="H88" s="123">
        <v>3.6080000000000001</v>
      </c>
      <c r="I88" s="121"/>
      <c r="J88" s="118" t="s">
        <v>24</v>
      </c>
      <c r="K88" s="118" t="s">
        <v>24</v>
      </c>
      <c r="L88" s="249" t="s">
        <v>230</v>
      </c>
      <c r="M88" s="249" t="s">
        <v>231</v>
      </c>
    </row>
    <row r="89" spans="1:13" x14ac:dyDescent="0.25">
      <c r="A89" s="116" t="s">
        <v>104</v>
      </c>
      <c r="B89" s="118">
        <v>1972</v>
      </c>
      <c r="C89" s="118">
        <f t="shared" si="0"/>
        <v>12.6</v>
      </c>
      <c r="D89" s="121">
        <v>3.0179999999999998</v>
      </c>
      <c r="E89" s="118">
        <v>3.5970000000000004</v>
      </c>
      <c r="F89" s="244">
        <v>3.8599999999999995E-2</v>
      </c>
      <c r="G89" s="123">
        <v>2.8949999999999997E-2</v>
      </c>
      <c r="H89" s="123">
        <v>3.5584000000000002</v>
      </c>
      <c r="I89" s="121"/>
      <c r="J89" s="118" t="s">
        <v>24</v>
      </c>
      <c r="K89" s="118" t="s">
        <v>24</v>
      </c>
      <c r="L89" s="249" t="s">
        <v>334</v>
      </c>
      <c r="M89" s="249" t="s">
        <v>335</v>
      </c>
    </row>
    <row r="90" spans="1:13" x14ac:dyDescent="0.25">
      <c r="A90" s="116" t="s">
        <v>105</v>
      </c>
      <c r="B90" s="118">
        <v>1980</v>
      </c>
      <c r="C90" s="118">
        <f>1.6+1.6</f>
        <v>3.2</v>
      </c>
      <c r="D90" s="121">
        <v>0.58799999999999997</v>
      </c>
      <c r="E90" s="118">
        <v>1.0920000000000001</v>
      </c>
      <c r="F90" s="244">
        <v>0.2366</v>
      </c>
      <c r="G90" s="123">
        <v>0.17745</v>
      </c>
      <c r="H90" s="123">
        <v>0.85540000000000016</v>
      </c>
      <c r="I90" s="121"/>
      <c r="J90" s="118" t="s">
        <v>24</v>
      </c>
      <c r="K90" s="118" t="s">
        <v>24</v>
      </c>
      <c r="L90" s="249" t="s">
        <v>254</v>
      </c>
      <c r="M90" s="249" t="s">
        <v>255</v>
      </c>
    </row>
    <row r="91" spans="1:13" x14ac:dyDescent="0.25">
      <c r="A91" s="116" t="s">
        <v>106</v>
      </c>
      <c r="B91" s="118">
        <v>1964</v>
      </c>
      <c r="C91" s="118">
        <f>3.2+6.3</f>
        <v>9.5</v>
      </c>
      <c r="D91" s="121">
        <v>1.9059999999999999</v>
      </c>
      <c r="E91" s="123">
        <v>1.4540000000000004</v>
      </c>
      <c r="F91" s="244">
        <v>0.2311</v>
      </c>
      <c r="G91" s="123">
        <v>0.17332500000000001</v>
      </c>
      <c r="H91" s="123">
        <v>1.2229000000000005</v>
      </c>
      <c r="I91" s="121"/>
      <c r="J91" s="118" t="s">
        <v>24</v>
      </c>
      <c r="K91" s="123" t="s">
        <v>24</v>
      </c>
      <c r="L91" s="249" t="s">
        <v>366</v>
      </c>
      <c r="M91" s="249" t="s">
        <v>367</v>
      </c>
    </row>
    <row r="92" spans="1:13" ht="30" x14ac:dyDescent="0.25">
      <c r="A92" s="116" t="s">
        <v>107</v>
      </c>
      <c r="B92" s="118">
        <v>1969</v>
      </c>
      <c r="C92" s="118">
        <f>4+4</f>
        <v>8</v>
      </c>
      <c r="D92" s="121">
        <v>1.335</v>
      </c>
      <c r="E92" s="118">
        <v>2.8650000000000002</v>
      </c>
      <c r="F92" s="244">
        <v>9.4299999999999967E-2</v>
      </c>
      <c r="G92" s="123">
        <v>7.0724999999999982E-2</v>
      </c>
      <c r="H92" s="123">
        <v>2.7707000000000002</v>
      </c>
      <c r="I92" s="121"/>
      <c r="J92" s="118" t="s">
        <v>24</v>
      </c>
      <c r="K92" s="123" t="s">
        <v>24</v>
      </c>
      <c r="L92" s="249" t="s">
        <v>390</v>
      </c>
      <c r="M92" s="249" t="s">
        <v>391</v>
      </c>
    </row>
    <row r="93" spans="1:13" x14ac:dyDescent="0.25">
      <c r="A93" s="116" t="s">
        <v>108</v>
      </c>
      <c r="B93" s="118">
        <v>1988</v>
      </c>
      <c r="C93" s="118">
        <f>2.5+2.5</f>
        <v>5</v>
      </c>
      <c r="D93" s="121">
        <v>0.36499999999999999</v>
      </c>
      <c r="E93" s="123">
        <v>2.2599999999999998</v>
      </c>
      <c r="F93" s="244">
        <v>5.4228000000000019E-2</v>
      </c>
      <c r="G93" s="123">
        <v>4.0671000000000013E-2</v>
      </c>
      <c r="H93" s="123">
        <v>2.2057720000000001</v>
      </c>
      <c r="I93" s="121"/>
      <c r="J93" s="118" t="s">
        <v>24</v>
      </c>
      <c r="K93" s="123" t="s">
        <v>24</v>
      </c>
      <c r="L93" s="249" t="s">
        <v>356</v>
      </c>
      <c r="M93" s="249" t="s">
        <v>357</v>
      </c>
    </row>
    <row r="94" spans="1:13" x14ac:dyDescent="0.25">
      <c r="A94" s="117" t="s">
        <v>109</v>
      </c>
      <c r="B94" s="118">
        <v>1947</v>
      </c>
      <c r="C94" s="118">
        <f>10+6.3</f>
        <v>16.3</v>
      </c>
      <c r="D94" s="121">
        <v>10.856</v>
      </c>
      <c r="E94" s="118">
        <v>-4.2409999999999997</v>
      </c>
      <c r="F94" s="245">
        <v>0</v>
      </c>
      <c r="G94" s="123">
        <v>0</v>
      </c>
      <c r="H94" s="123">
        <v>0</v>
      </c>
      <c r="I94" s="248">
        <v>2018</v>
      </c>
      <c r="J94" s="118" t="s">
        <v>25</v>
      </c>
      <c r="K94" s="123" t="s">
        <v>25</v>
      </c>
      <c r="L94" s="249" t="s">
        <v>274</v>
      </c>
      <c r="M94" s="249" t="s">
        <v>275</v>
      </c>
    </row>
    <row r="95" spans="1:13" x14ac:dyDescent="0.25">
      <c r="A95" s="116" t="s">
        <v>110</v>
      </c>
      <c r="B95" s="118">
        <v>1969</v>
      </c>
      <c r="C95" s="118">
        <f>4+2.5</f>
        <v>6.5</v>
      </c>
      <c r="D95" s="121">
        <v>1.143</v>
      </c>
      <c r="E95" s="118">
        <v>1.482</v>
      </c>
      <c r="F95" s="244">
        <v>5.11E-2</v>
      </c>
      <c r="G95" s="123">
        <v>3.8324999999999998E-2</v>
      </c>
      <c r="H95" s="123">
        <v>1.4309000000000001</v>
      </c>
      <c r="I95" s="121"/>
      <c r="J95" s="118" t="s">
        <v>24</v>
      </c>
      <c r="K95" s="123" t="s">
        <v>24</v>
      </c>
      <c r="L95" s="249" t="s">
        <v>344</v>
      </c>
      <c r="M95" s="249" t="s">
        <v>345</v>
      </c>
    </row>
    <row r="96" spans="1:13" x14ac:dyDescent="0.25">
      <c r="A96" s="116" t="s">
        <v>111</v>
      </c>
      <c r="B96" s="118">
        <v>1946</v>
      </c>
      <c r="C96" s="118">
        <f>10+10</f>
        <v>20</v>
      </c>
      <c r="D96" s="121">
        <v>13.409000000000001</v>
      </c>
      <c r="E96" s="118">
        <v>-2.9090000000000007</v>
      </c>
      <c r="F96" s="244">
        <v>0</v>
      </c>
      <c r="G96" s="123">
        <v>0</v>
      </c>
      <c r="H96" s="123">
        <v>0</v>
      </c>
      <c r="I96" s="248">
        <v>2018</v>
      </c>
      <c r="J96" s="118" t="s">
        <v>25</v>
      </c>
      <c r="K96" s="123" t="s">
        <v>25</v>
      </c>
      <c r="L96" s="249" t="s">
        <v>310</v>
      </c>
      <c r="M96" s="249" t="s">
        <v>311</v>
      </c>
    </row>
    <row r="97" spans="1:13" ht="30" x14ac:dyDescent="0.25">
      <c r="A97" s="116" t="s">
        <v>112</v>
      </c>
      <c r="B97" s="118">
        <v>1993</v>
      </c>
      <c r="C97" s="118">
        <f>4+4</f>
        <v>8</v>
      </c>
      <c r="D97" s="121">
        <v>0.89100000000000001</v>
      </c>
      <c r="E97" s="118">
        <v>3.3090000000000002</v>
      </c>
      <c r="F97" s="244">
        <v>0.48699999999999999</v>
      </c>
      <c r="G97" s="123">
        <v>0.36524999999999996</v>
      </c>
      <c r="H97" s="123">
        <v>2.8220000000000001</v>
      </c>
      <c r="I97" s="121"/>
      <c r="J97" s="118" t="s">
        <v>24</v>
      </c>
      <c r="K97" s="123" t="s">
        <v>24</v>
      </c>
      <c r="L97" s="249" t="s">
        <v>332</v>
      </c>
      <c r="M97" s="249" t="s">
        <v>333</v>
      </c>
    </row>
    <row r="98" spans="1:13" x14ac:dyDescent="0.25">
      <c r="A98" s="116" t="s">
        <v>113</v>
      </c>
      <c r="B98" s="118">
        <v>1987</v>
      </c>
      <c r="C98" s="118">
        <f>1.6+1.6</f>
        <v>3.2</v>
      </c>
      <c r="D98" s="121">
        <v>0.28899999999999998</v>
      </c>
      <c r="E98" s="118">
        <v>1.3910000000000002</v>
      </c>
      <c r="F98" s="244">
        <v>2.9000000000000007E-3</v>
      </c>
      <c r="G98" s="123">
        <v>2.1750000000000007E-3</v>
      </c>
      <c r="H98" s="123">
        <v>1.3881000000000001</v>
      </c>
      <c r="I98" s="121"/>
      <c r="J98" s="118" t="s">
        <v>24</v>
      </c>
      <c r="K98" s="123" t="s">
        <v>24</v>
      </c>
      <c r="L98" s="249" t="s">
        <v>372</v>
      </c>
      <c r="M98" s="249" t="s">
        <v>373</v>
      </c>
    </row>
    <row r="99" spans="1:13" ht="30" x14ac:dyDescent="0.25">
      <c r="A99" s="116" t="s">
        <v>116</v>
      </c>
      <c r="B99" s="118">
        <v>1984</v>
      </c>
      <c r="C99" s="118">
        <f>4+4</f>
        <v>8</v>
      </c>
      <c r="D99" s="121">
        <v>1.6140000000000001</v>
      </c>
      <c r="E99" s="118">
        <v>2.5860000000000003</v>
      </c>
      <c r="F99" s="244">
        <v>0.6924260000000001</v>
      </c>
      <c r="G99" s="123">
        <v>0.51931950000000004</v>
      </c>
      <c r="H99" s="123">
        <v>1.8935740000000001</v>
      </c>
      <c r="I99" s="121"/>
      <c r="J99" s="118" t="s">
        <v>24</v>
      </c>
      <c r="K99" s="123" t="s">
        <v>24</v>
      </c>
      <c r="L99" s="249" t="s">
        <v>240</v>
      </c>
      <c r="M99" s="249" t="s">
        <v>241</v>
      </c>
    </row>
    <row r="100" spans="1:13" x14ac:dyDescent="0.25">
      <c r="A100" s="116" t="s">
        <v>117</v>
      </c>
      <c r="B100" s="118">
        <v>1970</v>
      </c>
      <c r="C100" s="118">
        <f>4+6.3</f>
        <v>10.3</v>
      </c>
      <c r="D100" s="121">
        <v>1.7090000000000001</v>
      </c>
      <c r="E100" s="118">
        <v>2.4910000000000001</v>
      </c>
      <c r="F100" s="244">
        <v>4.4744000000000006E-2</v>
      </c>
      <c r="G100" s="123">
        <v>3.3558000000000004E-2</v>
      </c>
      <c r="H100" s="123">
        <v>2.446256</v>
      </c>
      <c r="I100" s="121"/>
      <c r="J100" s="118" t="s">
        <v>24</v>
      </c>
      <c r="K100" s="123" t="s">
        <v>24</v>
      </c>
      <c r="L100" s="249" t="s">
        <v>352</v>
      </c>
      <c r="M100" s="249" t="s">
        <v>353</v>
      </c>
    </row>
    <row r="101" spans="1:13" x14ac:dyDescent="0.25">
      <c r="A101" s="116" t="s">
        <v>213</v>
      </c>
      <c r="B101" s="118">
        <v>1976</v>
      </c>
      <c r="C101" s="118">
        <f>2.5+1</f>
        <v>3.5</v>
      </c>
      <c r="D101" s="121">
        <v>0.246</v>
      </c>
      <c r="E101" s="118">
        <v>0.80400000000000005</v>
      </c>
      <c r="F101" s="244">
        <v>0</v>
      </c>
      <c r="G101" s="123">
        <v>0</v>
      </c>
      <c r="H101" s="123">
        <v>0.80400000000000005</v>
      </c>
      <c r="I101" s="121"/>
      <c r="J101" s="118" t="s">
        <v>24</v>
      </c>
      <c r="K101" s="123" t="s">
        <v>24</v>
      </c>
      <c r="L101" s="249" t="s">
        <v>258</v>
      </c>
      <c r="M101" s="249" t="s">
        <v>259</v>
      </c>
    </row>
    <row r="102" spans="1:13" x14ac:dyDescent="0.25">
      <c r="A102" s="116" t="s">
        <v>120</v>
      </c>
      <c r="B102" s="118">
        <v>1976</v>
      </c>
      <c r="C102" s="118">
        <f t="shared" ref="C102:C103" si="1">2.5+2.5</f>
        <v>5</v>
      </c>
      <c r="D102" s="121">
        <v>0.245</v>
      </c>
      <c r="E102" s="118">
        <v>2.38</v>
      </c>
      <c r="F102" s="244">
        <v>1.4000000000000002E-3</v>
      </c>
      <c r="G102" s="123">
        <v>1.0500000000000002E-3</v>
      </c>
      <c r="H102" s="123">
        <v>2.3786</v>
      </c>
      <c r="I102" s="121"/>
      <c r="J102" s="118" t="s">
        <v>24</v>
      </c>
      <c r="K102" s="123" t="s">
        <v>24</v>
      </c>
      <c r="L102" s="249" t="s">
        <v>380</v>
      </c>
      <c r="M102" s="249" t="s">
        <v>381</v>
      </c>
    </row>
    <row r="103" spans="1:13" x14ac:dyDescent="0.25">
      <c r="A103" s="116" t="s">
        <v>121</v>
      </c>
      <c r="B103" s="118">
        <v>1983</v>
      </c>
      <c r="C103" s="118">
        <f t="shared" si="1"/>
        <v>5</v>
      </c>
      <c r="D103" s="121">
        <v>0.58499999999999996</v>
      </c>
      <c r="E103" s="118">
        <v>2.04</v>
      </c>
      <c r="F103" s="244">
        <v>1.1736</v>
      </c>
      <c r="G103" s="123">
        <v>0.88019999999999998</v>
      </c>
      <c r="H103" s="123">
        <v>0.86640000000000006</v>
      </c>
      <c r="I103" s="121"/>
      <c r="J103" s="118" t="s">
        <v>24</v>
      </c>
      <c r="K103" s="123" t="s">
        <v>24</v>
      </c>
      <c r="L103" s="249" t="s">
        <v>348</v>
      </c>
      <c r="M103" s="249" t="s">
        <v>349</v>
      </c>
    </row>
    <row r="104" spans="1:13" x14ac:dyDescent="0.25">
      <c r="A104" s="116" t="s">
        <v>122</v>
      </c>
      <c r="B104" s="118">
        <v>1961</v>
      </c>
      <c r="C104" s="118">
        <f>1.6+1.6</f>
        <v>3.2</v>
      </c>
      <c r="D104" s="121">
        <v>0.76400000000000001</v>
      </c>
      <c r="E104" s="118">
        <v>0.91600000000000015</v>
      </c>
      <c r="F104" s="244">
        <v>0</v>
      </c>
      <c r="G104" s="123">
        <v>0</v>
      </c>
      <c r="H104" s="123">
        <v>0.91600000000000015</v>
      </c>
      <c r="I104" s="121"/>
      <c r="J104" s="118" t="s">
        <v>24</v>
      </c>
      <c r="K104" s="123" t="s">
        <v>24</v>
      </c>
      <c r="L104" s="249" t="s">
        <v>312</v>
      </c>
      <c r="M104" s="249" t="s">
        <v>313</v>
      </c>
    </row>
    <row r="105" spans="1:13" x14ac:dyDescent="0.25">
      <c r="A105" s="116" t="s">
        <v>123</v>
      </c>
      <c r="B105" s="118">
        <v>1980</v>
      </c>
      <c r="C105" s="118">
        <f>6.3+6.3</f>
        <v>12.6</v>
      </c>
      <c r="D105" s="121">
        <v>4.351</v>
      </c>
      <c r="E105" s="118">
        <v>2.2640000000000002</v>
      </c>
      <c r="F105" s="244">
        <v>2.3099999999999999E-2</v>
      </c>
      <c r="G105" s="123">
        <v>1.7325E-2</v>
      </c>
      <c r="H105" s="123">
        <v>2.2408999999999999</v>
      </c>
      <c r="I105" s="121"/>
      <c r="J105" s="118" t="s">
        <v>24</v>
      </c>
      <c r="K105" s="123" t="s">
        <v>24</v>
      </c>
      <c r="L105" s="249" t="s">
        <v>362</v>
      </c>
      <c r="M105" s="249" t="s">
        <v>363</v>
      </c>
    </row>
    <row r="106" spans="1:13" x14ac:dyDescent="0.25">
      <c r="A106" s="116" t="s">
        <v>124</v>
      </c>
      <c r="B106" s="118">
        <v>1976</v>
      </c>
      <c r="C106" s="118">
        <f t="shared" ref="C106:C107" si="2">1.6+1.6</f>
        <v>3.2</v>
      </c>
      <c r="D106" s="121">
        <v>0.84099999999999997</v>
      </c>
      <c r="E106" s="118">
        <v>0.83900000000000019</v>
      </c>
      <c r="F106" s="244">
        <v>2.9399999999999996E-2</v>
      </c>
      <c r="G106" s="123">
        <v>2.2049999999999997E-2</v>
      </c>
      <c r="H106" s="123">
        <v>0.80960000000000021</v>
      </c>
      <c r="I106" s="121"/>
      <c r="J106" s="118" t="s">
        <v>24</v>
      </c>
      <c r="K106" s="123" t="s">
        <v>24</v>
      </c>
      <c r="L106" s="249" t="s">
        <v>330</v>
      </c>
      <c r="M106" s="249" t="s">
        <v>331</v>
      </c>
    </row>
    <row r="107" spans="1:13" x14ac:dyDescent="0.25">
      <c r="A107" s="116" t="s">
        <v>127</v>
      </c>
      <c r="B107" s="118">
        <v>1986</v>
      </c>
      <c r="C107" s="118">
        <f t="shared" si="2"/>
        <v>3.2</v>
      </c>
      <c r="D107" s="121">
        <v>0.224</v>
      </c>
      <c r="E107" s="118">
        <v>1.4560000000000002</v>
      </c>
      <c r="F107" s="244">
        <v>5.2999999999999992E-3</v>
      </c>
      <c r="G107" s="123">
        <v>3.9749999999999994E-3</v>
      </c>
      <c r="H107" s="123">
        <v>1.4507000000000001</v>
      </c>
      <c r="I107" s="121"/>
      <c r="J107" s="118" t="s">
        <v>24</v>
      </c>
      <c r="K107" s="123" t="s">
        <v>24</v>
      </c>
      <c r="L107" s="249" t="s">
        <v>374</v>
      </c>
      <c r="M107" s="249" t="s">
        <v>375</v>
      </c>
    </row>
    <row r="108" spans="1:13" x14ac:dyDescent="0.25">
      <c r="A108" s="116" t="s">
        <v>128</v>
      </c>
      <c r="B108" s="118">
        <v>1974</v>
      </c>
      <c r="C108" s="118">
        <f>4+4</f>
        <v>8</v>
      </c>
      <c r="D108" s="121">
        <v>0.59299999999999997</v>
      </c>
      <c r="E108" s="118">
        <v>3.6070000000000002</v>
      </c>
      <c r="F108" s="244">
        <v>0.30449999999999999</v>
      </c>
      <c r="G108" s="123">
        <v>0.22837499999999999</v>
      </c>
      <c r="H108" s="123">
        <v>3.3025000000000002</v>
      </c>
      <c r="I108" s="121"/>
      <c r="J108" s="118" t="s">
        <v>24</v>
      </c>
      <c r="K108" s="123" t="s">
        <v>24</v>
      </c>
      <c r="L108" s="249" t="s">
        <v>236</v>
      </c>
      <c r="M108" s="249" t="s">
        <v>237</v>
      </c>
    </row>
    <row r="109" spans="1:13" x14ac:dyDescent="0.25">
      <c r="A109" s="116" t="s">
        <v>129</v>
      </c>
      <c r="B109" s="118">
        <v>1982</v>
      </c>
      <c r="C109" s="118">
        <f>4+2.5</f>
        <v>6.5</v>
      </c>
      <c r="D109" s="121">
        <v>0.51400000000000001</v>
      </c>
      <c r="E109" s="118">
        <v>2.1109999999999998</v>
      </c>
      <c r="F109" s="244">
        <v>8.3599999999999994E-2</v>
      </c>
      <c r="G109" s="123">
        <v>6.2699999999999992E-2</v>
      </c>
      <c r="H109" s="123">
        <v>2.0274000000000001</v>
      </c>
      <c r="I109" s="121"/>
      <c r="J109" s="118" t="s">
        <v>24</v>
      </c>
      <c r="K109" s="123" t="s">
        <v>24</v>
      </c>
      <c r="L109" s="249" t="s">
        <v>382</v>
      </c>
      <c r="M109" s="249" t="s">
        <v>383</v>
      </c>
    </row>
    <row r="110" spans="1:13" x14ac:dyDescent="0.25">
      <c r="A110" s="116" t="s">
        <v>130</v>
      </c>
      <c r="B110" s="118">
        <v>1976</v>
      </c>
      <c r="C110" s="118">
        <f t="shared" ref="C110:C111" si="3">4+4</f>
        <v>8</v>
      </c>
      <c r="D110" s="121">
        <v>2.98</v>
      </c>
      <c r="E110" s="118">
        <v>1.2200000000000002</v>
      </c>
      <c r="F110" s="244">
        <v>2.3400000000000001E-2</v>
      </c>
      <c r="G110" s="123">
        <v>1.755E-2</v>
      </c>
      <c r="H110" s="123">
        <v>1.1966000000000001</v>
      </c>
      <c r="I110" s="121"/>
      <c r="J110" s="118" t="s">
        <v>24</v>
      </c>
      <c r="K110" s="123" t="s">
        <v>24</v>
      </c>
      <c r="L110" s="249" t="s">
        <v>358</v>
      </c>
      <c r="M110" s="249" t="s">
        <v>359</v>
      </c>
    </row>
    <row r="111" spans="1:13" x14ac:dyDescent="0.25">
      <c r="A111" s="116" t="s">
        <v>131</v>
      </c>
      <c r="B111" s="118">
        <v>1976</v>
      </c>
      <c r="C111" s="118">
        <f t="shared" si="3"/>
        <v>8</v>
      </c>
      <c r="D111" s="121">
        <v>1.6890000000000001</v>
      </c>
      <c r="E111" s="118">
        <v>2.5110000000000001</v>
      </c>
      <c r="F111" s="244">
        <v>0.18679999999999999</v>
      </c>
      <c r="G111" s="123">
        <v>0.1401</v>
      </c>
      <c r="H111" s="123">
        <v>2.3242000000000003</v>
      </c>
      <c r="I111" s="121"/>
      <c r="J111" s="118" t="s">
        <v>24</v>
      </c>
      <c r="K111" s="123" t="s">
        <v>24</v>
      </c>
      <c r="L111" s="249" t="s">
        <v>338</v>
      </c>
      <c r="M111" s="249" t="s">
        <v>339</v>
      </c>
    </row>
    <row r="112" spans="1:13" x14ac:dyDescent="0.25">
      <c r="A112" s="116" t="s">
        <v>132</v>
      </c>
      <c r="B112" s="118">
        <v>1975</v>
      </c>
      <c r="C112" s="118">
        <f>2.5+1.6</f>
        <v>4.0999999999999996</v>
      </c>
      <c r="D112" s="121">
        <v>1.3080000000000001</v>
      </c>
      <c r="E112" s="118">
        <v>0.37200000000000011</v>
      </c>
      <c r="F112" s="244">
        <v>0.30510000000000004</v>
      </c>
      <c r="G112" s="123">
        <v>0.22882500000000003</v>
      </c>
      <c r="H112" s="123">
        <v>6.6899999999999959E-2</v>
      </c>
      <c r="I112" s="121"/>
      <c r="J112" s="118" t="s">
        <v>24</v>
      </c>
      <c r="K112" s="123" t="s">
        <v>24</v>
      </c>
      <c r="L112" s="249" t="s">
        <v>396</v>
      </c>
      <c r="M112" s="249" t="s">
        <v>397</v>
      </c>
    </row>
    <row r="113" spans="1:13" x14ac:dyDescent="0.25">
      <c r="A113" s="116" t="s">
        <v>133</v>
      </c>
      <c r="B113" s="118">
        <v>1981</v>
      </c>
      <c r="C113" s="118">
        <f>2.5+2.5</f>
        <v>5</v>
      </c>
      <c r="D113" s="121">
        <v>0.746</v>
      </c>
      <c r="E113" s="118">
        <v>1.879</v>
      </c>
      <c r="F113" s="244">
        <v>0</v>
      </c>
      <c r="G113" s="123">
        <v>0</v>
      </c>
      <c r="H113" s="123">
        <v>1.879</v>
      </c>
      <c r="I113" s="121"/>
      <c r="J113" s="118" t="s">
        <v>24</v>
      </c>
      <c r="K113" s="123" t="s">
        <v>24</v>
      </c>
      <c r="L113" s="249" t="s">
        <v>340</v>
      </c>
      <c r="M113" s="249" t="s">
        <v>341</v>
      </c>
    </row>
    <row r="114" spans="1:13" ht="30" x14ac:dyDescent="0.25">
      <c r="A114" s="116" t="s">
        <v>134</v>
      </c>
      <c r="B114" s="118">
        <v>1977</v>
      </c>
      <c r="C114" s="118">
        <f>4+6.3</f>
        <v>10.3</v>
      </c>
      <c r="D114" s="121">
        <v>1.4590000000000001</v>
      </c>
      <c r="E114" s="118">
        <v>2.7410000000000001</v>
      </c>
      <c r="F114" s="244">
        <v>3.3351999999999993E-2</v>
      </c>
      <c r="G114" s="123">
        <v>2.5013999999999995E-2</v>
      </c>
      <c r="H114" s="123">
        <v>2.7076479999999998</v>
      </c>
      <c r="I114" s="121"/>
      <c r="J114" s="118" t="s">
        <v>24</v>
      </c>
      <c r="K114" s="123" t="s">
        <v>24</v>
      </c>
      <c r="L114" s="249" t="s">
        <v>248</v>
      </c>
      <c r="M114" s="249" t="s">
        <v>249</v>
      </c>
    </row>
    <row r="115" spans="1:13" x14ac:dyDescent="0.25">
      <c r="A115" s="116" t="s">
        <v>224</v>
      </c>
      <c r="B115" s="118">
        <v>1976</v>
      </c>
      <c r="C115" s="118">
        <f>4+4</f>
        <v>8</v>
      </c>
      <c r="D115" s="121">
        <v>0.77</v>
      </c>
      <c r="E115" s="118">
        <v>3.43</v>
      </c>
      <c r="F115" s="244">
        <v>1.5099999999999999E-2</v>
      </c>
      <c r="G115" s="123">
        <v>1.1324999999999998E-2</v>
      </c>
      <c r="H115" s="123">
        <v>3.4149000000000003</v>
      </c>
      <c r="I115" s="121"/>
      <c r="J115" s="118" t="s">
        <v>24</v>
      </c>
      <c r="K115" s="123" t="s">
        <v>24</v>
      </c>
      <c r="L115" s="249" t="s">
        <v>386</v>
      </c>
      <c r="M115" s="249" t="s">
        <v>387</v>
      </c>
    </row>
    <row r="116" spans="1:13" x14ac:dyDescent="0.25">
      <c r="A116" s="116" t="s">
        <v>136</v>
      </c>
      <c r="B116" s="118">
        <v>1971</v>
      </c>
      <c r="C116" s="118">
        <f>6.3+6.3</f>
        <v>12.6</v>
      </c>
      <c r="D116" s="121">
        <v>2.7490000000000001</v>
      </c>
      <c r="E116" s="118">
        <v>3.8660000000000001</v>
      </c>
      <c r="F116" s="244">
        <v>0.27877700000000005</v>
      </c>
      <c r="G116" s="123">
        <v>0.20908275000000004</v>
      </c>
      <c r="H116" s="123">
        <v>3.5872229999999998</v>
      </c>
      <c r="I116" s="121"/>
      <c r="J116" s="118" t="s">
        <v>24</v>
      </c>
      <c r="K116" s="123" t="s">
        <v>24</v>
      </c>
      <c r="L116" s="249" t="s">
        <v>378</v>
      </c>
      <c r="M116" s="249" t="s">
        <v>379</v>
      </c>
    </row>
    <row r="117" spans="1:13" x14ac:dyDescent="0.25">
      <c r="A117" s="116" t="s">
        <v>143</v>
      </c>
      <c r="B117" s="122">
        <v>1967</v>
      </c>
      <c r="C117" s="118">
        <f>4+4</f>
        <v>8</v>
      </c>
      <c r="D117" s="121">
        <v>2.6339999999999999</v>
      </c>
      <c r="E117" s="118">
        <v>1.5660000000000003</v>
      </c>
      <c r="F117" s="244">
        <v>0.6119</v>
      </c>
      <c r="G117" s="123">
        <v>0.45892500000000003</v>
      </c>
      <c r="H117" s="123">
        <v>0.95410000000000039</v>
      </c>
      <c r="I117" s="121"/>
      <c r="J117" s="118" t="s">
        <v>24</v>
      </c>
      <c r="K117" s="123" t="s">
        <v>24</v>
      </c>
      <c r="L117" s="249" t="s">
        <v>322</v>
      </c>
      <c r="M117" s="249" t="s">
        <v>323</v>
      </c>
    </row>
    <row r="118" spans="1:13" x14ac:dyDescent="0.25">
      <c r="A118" s="116" t="s">
        <v>142</v>
      </c>
      <c r="B118" s="118">
        <v>1974</v>
      </c>
      <c r="C118" s="118">
        <f>10+10</f>
        <v>20</v>
      </c>
      <c r="D118" s="121">
        <v>2.1440000000000001</v>
      </c>
      <c r="E118" s="118">
        <v>8.3559999999999999</v>
      </c>
      <c r="F118" s="244">
        <v>0</v>
      </c>
      <c r="G118" s="123">
        <v>0</v>
      </c>
      <c r="H118" s="123">
        <v>8.3559999999999999</v>
      </c>
      <c r="I118" s="121"/>
      <c r="J118" s="118" t="s">
        <v>24</v>
      </c>
      <c r="K118" s="123" t="s">
        <v>24</v>
      </c>
      <c r="L118" s="249" t="s">
        <v>350</v>
      </c>
      <c r="M118" s="249" t="s">
        <v>351</v>
      </c>
    </row>
    <row r="119" spans="1:13" x14ac:dyDescent="0.25">
      <c r="A119" s="116" t="s">
        <v>145</v>
      </c>
      <c r="B119" s="118">
        <v>1969</v>
      </c>
      <c r="C119" s="118">
        <f>2.5+2.5</f>
        <v>5</v>
      </c>
      <c r="D119" s="121">
        <v>0.67900000000000005</v>
      </c>
      <c r="E119" s="118">
        <v>1.946</v>
      </c>
      <c r="F119" s="244">
        <v>0.31789999999999996</v>
      </c>
      <c r="G119" s="123">
        <v>0.23842499999999997</v>
      </c>
      <c r="H119" s="123">
        <v>1.6280999999999999</v>
      </c>
      <c r="I119" s="121"/>
      <c r="J119" s="118" t="s">
        <v>24</v>
      </c>
      <c r="K119" s="123" t="s">
        <v>24</v>
      </c>
      <c r="L119" s="249" t="s">
        <v>388</v>
      </c>
      <c r="M119" s="249" t="s">
        <v>389</v>
      </c>
    </row>
    <row r="120" spans="1:13" x14ac:dyDescent="0.25">
      <c r="A120" s="116" t="s">
        <v>147</v>
      </c>
      <c r="B120" s="118">
        <v>1981</v>
      </c>
      <c r="C120" s="118">
        <f>1.6+1.8</f>
        <v>3.4000000000000004</v>
      </c>
      <c r="D120" s="121">
        <v>0.66300000000000003</v>
      </c>
      <c r="E120" s="118">
        <v>1.0170000000000001</v>
      </c>
      <c r="F120" s="244">
        <v>0.32959999999999995</v>
      </c>
      <c r="G120" s="123">
        <v>0.24719999999999998</v>
      </c>
      <c r="H120" s="123">
        <v>0.68740000000000023</v>
      </c>
      <c r="I120" s="121"/>
      <c r="J120" s="118" t="s">
        <v>24</v>
      </c>
      <c r="K120" s="123" t="s">
        <v>24</v>
      </c>
      <c r="L120" s="249" t="s">
        <v>246</v>
      </c>
      <c r="M120" s="249" t="s">
        <v>247</v>
      </c>
    </row>
    <row r="121" spans="1:13" x14ac:dyDescent="0.25">
      <c r="A121" s="116" t="s">
        <v>148</v>
      </c>
      <c r="B121" s="118" t="s">
        <v>530</v>
      </c>
      <c r="C121" s="118">
        <f>16+16+16</f>
        <v>48</v>
      </c>
      <c r="D121" s="121">
        <v>18.994</v>
      </c>
      <c r="E121" s="118">
        <v>14.606000000000002</v>
      </c>
      <c r="F121" s="244">
        <v>2.1061329</v>
      </c>
      <c r="G121" s="123">
        <v>1.5795996749999999</v>
      </c>
      <c r="H121" s="123">
        <v>12.499867100000003</v>
      </c>
      <c r="I121" s="121"/>
      <c r="J121" s="118" t="s">
        <v>24</v>
      </c>
      <c r="K121" s="123" t="s">
        <v>24</v>
      </c>
      <c r="L121" s="249" t="s">
        <v>290</v>
      </c>
      <c r="M121" s="249" t="s">
        <v>291</v>
      </c>
    </row>
    <row r="122" spans="1:13" ht="30" x14ac:dyDescent="0.25">
      <c r="A122" s="116" t="s">
        <v>149</v>
      </c>
      <c r="B122" s="118" t="s">
        <v>531</v>
      </c>
      <c r="C122" s="118">
        <f>6.3+5.6+16</f>
        <v>27.9</v>
      </c>
      <c r="D122" s="121">
        <v>7.9660000000000002</v>
      </c>
      <c r="E122" s="118">
        <v>4.5290000000000008</v>
      </c>
      <c r="F122" s="244">
        <v>1.5800000000000002E-2</v>
      </c>
      <c r="G122" s="123">
        <v>1.1850000000000001E-2</v>
      </c>
      <c r="H122" s="123">
        <v>4.5132000000000012</v>
      </c>
      <c r="I122" s="121"/>
      <c r="J122" s="118" t="s">
        <v>24</v>
      </c>
      <c r="K122" s="123" t="s">
        <v>24</v>
      </c>
      <c r="L122" s="249" t="s">
        <v>280</v>
      </c>
      <c r="M122" s="249" t="s">
        <v>281</v>
      </c>
    </row>
    <row r="123" spans="1:13" x14ac:dyDescent="0.25">
      <c r="A123" s="116" t="s">
        <v>152</v>
      </c>
      <c r="B123" s="118">
        <v>1980</v>
      </c>
      <c r="C123" s="118">
        <f>2.5+4</f>
        <v>6.5</v>
      </c>
      <c r="D123" s="121">
        <v>0.98599999999999999</v>
      </c>
      <c r="E123" s="118">
        <v>1.639</v>
      </c>
      <c r="F123" s="244">
        <v>0.1171580000000001</v>
      </c>
      <c r="G123" s="123">
        <v>8.7868500000000072E-2</v>
      </c>
      <c r="H123" s="123">
        <v>1.5218419999999999</v>
      </c>
      <c r="I123" s="121"/>
      <c r="J123" s="118" t="s">
        <v>24</v>
      </c>
      <c r="K123" s="123" t="s">
        <v>24</v>
      </c>
      <c r="L123" s="249" t="s">
        <v>368</v>
      </c>
      <c r="M123" s="249" t="s">
        <v>369</v>
      </c>
    </row>
    <row r="124" spans="1:13" x14ac:dyDescent="0.25">
      <c r="A124" s="116" t="s">
        <v>178</v>
      </c>
      <c r="B124" s="118">
        <v>1988</v>
      </c>
      <c r="C124" s="118">
        <f>4+4</f>
        <v>8</v>
      </c>
      <c r="D124" s="121">
        <v>0.76700000000000002</v>
      </c>
      <c r="E124" s="118">
        <v>3.4330000000000003</v>
      </c>
      <c r="F124" s="244">
        <v>0.1051</v>
      </c>
      <c r="G124" s="123">
        <v>7.8825000000000006E-2</v>
      </c>
      <c r="H124" s="123">
        <v>3.3279000000000001</v>
      </c>
      <c r="I124" s="121"/>
      <c r="J124" s="118" t="s">
        <v>24</v>
      </c>
      <c r="K124" s="123" t="s">
        <v>24</v>
      </c>
      <c r="L124" s="249" t="s">
        <v>314</v>
      </c>
      <c r="M124" s="249" t="s">
        <v>315</v>
      </c>
    </row>
    <row r="125" spans="1:13" ht="30" x14ac:dyDescent="0.25">
      <c r="A125" s="116" t="s">
        <v>181</v>
      </c>
      <c r="B125" s="118">
        <v>1963</v>
      </c>
      <c r="C125" s="118">
        <f>2.5+2.5</f>
        <v>5</v>
      </c>
      <c r="D125" s="121">
        <v>0.82799999999999996</v>
      </c>
      <c r="E125" s="118">
        <v>1.7970000000000002</v>
      </c>
      <c r="F125" s="244">
        <v>0.34060000000000001</v>
      </c>
      <c r="G125" s="123">
        <v>0.25545000000000001</v>
      </c>
      <c r="H125" s="123">
        <v>1.4563999999999999</v>
      </c>
      <c r="I125" s="121"/>
      <c r="J125" s="118" t="s">
        <v>24</v>
      </c>
      <c r="K125" s="123" t="s">
        <v>24</v>
      </c>
      <c r="L125" s="249" t="s">
        <v>324</v>
      </c>
      <c r="M125" s="249" t="s">
        <v>325</v>
      </c>
    </row>
    <row r="126" spans="1:13" x14ac:dyDescent="0.25">
      <c r="A126" s="116" t="s">
        <v>180</v>
      </c>
      <c r="B126" s="118">
        <v>1984</v>
      </c>
      <c r="C126" s="118">
        <f>1.6+1.6</f>
        <v>3.2</v>
      </c>
      <c r="D126" s="121">
        <v>0.93200000000000005</v>
      </c>
      <c r="E126" s="118">
        <v>0.74800000000000011</v>
      </c>
      <c r="F126" s="244">
        <v>4.1200000000000001E-2</v>
      </c>
      <c r="G126" s="123">
        <v>3.09E-2</v>
      </c>
      <c r="H126" s="123">
        <v>0.70680000000000009</v>
      </c>
      <c r="I126" s="121"/>
      <c r="J126" s="118" t="s">
        <v>24</v>
      </c>
      <c r="K126" s="123" t="s">
        <v>24</v>
      </c>
      <c r="L126" s="249" t="s">
        <v>318</v>
      </c>
      <c r="M126" s="249" t="s">
        <v>319</v>
      </c>
    </row>
    <row r="127" spans="1:13" x14ac:dyDescent="0.25">
      <c r="A127" s="116" t="s">
        <v>179</v>
      </c>
      <c r="B127" s="118">
        <v>1984</v>
      </c>
      <c r="C127" s="118">
        <f>2.5+1.6</f>
        <v>4.0999999999999996</v>
      </c>
      <c r="D127" s="121">
        <v>0.66</v>
      </c>
      <c r="E127" s="118">
        <v>1.02</v>
      </c>
      <c r="F127" s="244">
        <v>2.2799999999999997E-2</v>
      </c>
      <c r="G127" s="123">
        <v>1.7099999999999997E-2</v>
      </c>
      <c r="H127" s="123">
        <v>0.99720000000000009</v>
      </c>
      <c r="I127" s="121"/>
      <c r="J127" s="118" t="s">
        <v>24</v>
      </c>
      <c r="K127" s="123" t="s">
        <v>24</v>
      </c>
      <c r="L127" s="249" t="s">
        <v>270</v>
      </c>
      <c r="M127" s="249" t="s">
        <v>271</v>
      </c>
    </row>
    <row r="128" spans="1:13" x14ac:dyDescent="0.25">
      <c r="A128" s="116" t="s">
        <v>182</v>
      </c>
      <c r="B128" s="118">
        <v>1989</v>
      </c>
      <c r="C128" s="118">
        <f>2.5+2.5</f>
        <v>5</v>
      </c>
      <c r="D128" s="121">
        <v>0.33200000000000002</v>
      </c>
      <c r="E128" s="118">
        <v>2.2930000000000001</v>
      </c>
      <c r="F128" s="244">
        <v>0</v>
      </c>
      <c r="G128" s="123">
        <v>0</v>
      </c>
      <c r="H128" s="123">
        <v>2.2930000000000001</v>
      </c>
      <c r="I128" s="121"/>
      <c r="J128" s="118" t="s">
        <v>24</v>
      </c>
      <c r="K128" s="123" t="s">
        <v>24</v>
      </c>
      <c r="L128" s="249" t="s">
        <v>304</v>
      </c>
      <c r="M128" s="249" t="s">
        <v>305</v>
      </c>
    </row>
    <row r="129" spans="1:13" x14ac:dyDescent="0.25">
      <c r="A129" s="116" t="s">
        <v>183</v>
      </c>
      <c r="B129" s="118">
        <v>1964</v>
      </c>
      <c r="C129" s="118">
        <f>2.5+3.2</f>
        <v>5.7</v>
      </c>
      <c r="D129" s="121">
        <v>1.2270000000000001</v>
      </c>
      <c r="E129" s="118">
        <v>1.3979999999999999</v>
      </c>
      <c r="F129" s="244">
        <v>0.3347</v>
      </c>
      <c r="G129" s="123">
        <v>0.251025</v>
      </c>
      <c r="H129" s="123">
        <v>1.0632999999999999</v>
      </c>
      <c r="I129" s="121"/>
      <c r="J129" s="118" t="s">
        <v>24</v>
      </c>
      <c r="K129" s="123" t="s">
        <v>24</v>
      </c>
      <c r="L129" s="249" t="s">
        <v>272</v>
      </c>
      <c r="M129" s="249" t="s">
        <v>273</v>
      </c>
    </row>
    <row r="130" spans="1:13" x14ac:dyDescent="0.25">
      <c r="A130" s="116" t="s">
        <v>184</v>
      </c>
      <c r="B130" s="118">
        <v>1963</v>
      </c>
      <c r="C130" s="118">
        <f>4+4</f>
        <v>8</v>
      </c>
      <c r="D130" s="121">
        <v>2.4020000000000001</v>
      </c>
      <c r="E130" s="118">
        <v>1.798</v>
      </c>
      <c r="F130" s="244">
        <v>6.7875999999999978E-2</v>
      </c>
      <c r="G130" s="123">
        <v>5.090699999999998E-2</v>
      </c>
      <c r="H130" s="123">
        <v>1.730124</v>
      </c>
      <c r="I130" s="121"/>
      <c r="J130" s="118" t="s">
        <v>24</v>
      </c>
      <c r="K130" s="123" t="s">
        <v>24</v>
      </c>
      <c r="L130" s="249" t="s">
        <v>298</v>
      </c>
      <c r="M130" s="249" t="s">
        <v>299</v>
      </c>
    </row>
    <row r="131" spans="1:13" x14ac:dyDescent="0.25">
      <c r="A131" s="116" t="s">
        <v>185</v>
      </c>
      <c r="B131" s="118">
        <v>1977</v>
      </c>
      <c r="C131" s="118">
        <f>2.5+3.2</f>
        <v>5.7</v>
      </c>
      <c r="D131" s="121">
        <v>1.952</v>
      </c>
      <c r="E131" s="118">
        <v>0.67300000000000004</v>
      </c>
      <c r="F131" s="244">
        <v>0.54930100000000004</v>
      </c>
      <c r="G131" s="123">
        <v>0.41197575000000003</v>
      </c>
      <c r="H131" s="123">
        <v>0.12369900000000023</v>
      </c>
      <c r="I131" s="121"/>
      <c r="J131" s="118" t="s">
        <v>24</v>
      </c>
      <c r="K131" s="123" t="s">
        <v>24</v>
      </c>
      <c r="L131" s="249" t="s">
        <v>282</v>
      </c>
      <c r="M131" s="249" t="s">
        <v>283</v>
      </c>
    </row>
    <row r="132" spans="1:13" x14ac:dyDescent="0.25">
      <c r="A132" s="116" t="s">
        <v>186</v>
      </c>
      <c r="B132" s="118">
        <v>1985</v>
      </c>
      <c r="C132" s="118">
        <f>4+2.5</f>
        <v>6.5</v>
      </c>
      <c r="D132" s="121">
        <v>1.282</v>
      </c>
      <c r="E132" s="118">
        <v>1.343</v>
      </c>
      <c r="F132" s="244">
        <v>3.4000000000000002E-2</v>
      </c>
      <c r="G132" s="123">
        <v>2.5500000000000002E-2</v>
      </c>
      <c r="H132" s="123">
        <v>1.3089999999999999</v>
      </c>
      <c r="I132" s="121"/>
      <c r="J132" s="118" t="s">
        <v>24</v>
      </c>
      <c r="K132" s="123" t="s">
        <v>24</v>
      </c>
      <c r="L132" s="249" t="s">
        <v>302</v>
      </c>
      <c r="M132" s="249" t="s">
        <v>303</v>
      </c>
    </row>
    <row r="133" spans="1:13" x14ac:dyDescent="0.25">
      <c r="A133" s="116" t="s">
        <v>187</v>
      </c>
      <c r="B133" s="118">
        <v>1975</v>
      </c>
      <c r="C133" s="118">
        <f t="shared" ref="C133:C134" si="4">1.6+1.6</f>
        <v>3.2</v>
      </c>
      <c r="D133" s="121">
        <v>0.72099999999999997</v>
      </c>
      <c r="E133" s="118">
        <v>0.95900000000000019</v>
      </c>
      <c r="F133" s="244">
        <v>2.3502000000000006E-2</v>
      </c>
      <c r="G133" s="123">
        <v>1.7626500000000003E-2</v>
      </c>
      <c r="H133" s="123">
        <v>0.93549800000000016</v>
      </c>
      <c r="I133" s="121"/>
      <c r="J133" s="118" t="s">
        <v>24</v>
      </c>
      <c r="K133" s="123" t="s">
        <v>24</v>
      </c>
      <c r="L133" s="249" t="s">
        <v>284</v>
      </c>
      <c r="M133" s="249" t="s">
        <v>285</v>
      </c>
    </row>
    <row r="134" spans="1:13" x14ac:dyDescent="0.25">
      <c r="A134" s="116" t="s">
        <v>188</v>
      </c>
      <c r="B134" s="118">
        <v>1987</v>
      </c>
      <c r="C134" s="118">
        <f t="shared" si="4"/>
        <v>3.2</v>
      </c>
      <c r="D134" s="121">
        <v>0.52300000000000002</v>
      </c>
      <c r="E134" s="118">
        <v>1.157</v>
      </c>
      <c r="F134" s="244">
        <v>4.500000000000004E-3</v>
      </c>
      <c r="G134" s="123">
        <v>3.375000000000003E-3</v>
      </c>
      <c r="H134" s="123">
        <v>1.1525000000000001</v>
      </c>
      <c r="I134" s="121"/>
      <c r="J134" s="118" t="s">
        <v>24</v>
      </c>
      <c r="K134" s="123" t="s">
        <v>24</v>
      </c>
      <c r="L134" s="249" t="s">
        <v>264</v>
      </c>
      <c r="M134" s="249" t="s">
        <v>265</v>
      </c>
    </row>
    <row r="135" spans="1:13" x14ac:dyDescent="0.25">
      <c r="A135" s="116" t="s">
        <v>189</v>
      </c>
      <c r="B135" s="118">
        <v>1964</v>
      </c>
      <c r="C135" s="118">
        <f>2.5+2.5</f>
        <v>5</v>
      </c>
      <c r="D135" s="121">
        <v>1.8939999999999999</v>
      </c>
      <c r="E135" s="118">
        <v>0.73100000000000009</v>
      </c>
      <c r="F135" s="244">
        <v>0.24565100000000001</v>
      </c>
      <c r="G135" s="123">
        <v>0.18423824999999999</v>
      </c>
      <c r="H135" s="123">
        <v>0.48534900000000025</v>
      </c>
      <c r="I135" s="121"/>
      <c r="J135" s="118" t="s">
        <v>24</v>
      </c>
      <c r="K135" s="123" t="s">
        <v>24</v>
      </c>
      <c r="L135" s="249" t="s">
        <v>306</v>
      </c>
      <c r="M135" s="249" t="s">
        <v>307</v>
      </c>
    </row>
    <row r="136" spans="1:13" x14ac:dyDescent="0.25">
      <c r="A136" s="116" t="s">
        <v>190</v>
      </c>
      <c r="B136" s="118">
        <v>1970</v>
      </c>
      <c r="C136" s="118">
        <f>2.5+1.6</f>
        <v>4.0999999999999996</v>
      </c>
      <c r="D136" s="121">
        <v>0.50700000000000001</v>
      </c>
      <c r="E136" s="118">
        <v>1.173</v>
      </c>
      <c r="F136" s="244">
        <v>1.0800000000000001E-2</v>
      </c>
      <c r="G136" s="123">
        <v>8.0999999999999996E-3</v>
      </c>
      <c r="H136" s="123">
        <v>1.1622000000000001</v>
      </c>
      <c r="I136" s="121"/>
      <c r="J136" s="118" t="s">
        <v>24</v>
      </c>
      <c r="K136" s="123" t="s">
        <v>24</v>
      </c>
      <c r="L136" s="249" t="s">
        <v>266</v>
      </c>
      <c r="M136" s="249" t="s">
        <v>267</v>
      </c>
    </row>
    <row r="137" spans="1:13" x14ac:dyDescent="0.25">
      <c r="A137" s="116" t="s">
        <v>191</v>
      </c>
      <c r="B137" s="118">
        <v>1980</v>
      </c>
      <c r="C137" s="118">
        <f>2.5+1.6</f>
        <v>4.0999999999999996</v>
      </c>
      <c r="D137" s="121">
        <v>0.876</v>
      </c>
      <c r="E137" s="118">
        <v>0.80400000000000016</v>
      </c>
      <c r="F137" s="244">
        <v>0.17394400000000002</v>
      </c>
      <c r="G137" s="123">
        <v>0.13045800000000002</v>
      </c>
      <c r="H137" s="123">
        <v>0.63005600000000017</v>
      </c>
      <c r="I137" s="121"/>
      <c r="J137" s="118" t="s">
        <v>24</v>
      </c>
      <c r="K137" s="123" t="s">
        <v>24</v>
      </c>
      <c r="L137" s="249" t="s">
        <v>288</v>
      </c>
      <c r="M137" s="249" t="s">
        <v>289</v>
      </c>
    </row>
    <row r="138" spans="1:13" x14ac:dyDescent="0.25">
      <c r="A138" s="116" t="s">
        <v>192</v>
      </c>
      <c r="B138" s="118">
        <v>1981</v>
      </c>
      <c r="C138" s="118">
        <f>2.5+2.5</f>
        <v>5</v>
      </c>
      <c r="D138" s="121">
        <v>0.49</v>
      </c>
      <c r="E138" s="118">
        <v>2.1349999999999998</v>
      </c>
      <c r="F138" s="244">
        <v>2.1100000000000008E-2</v>
      </c>
      <c r="G138" s="123">
        <v>1.5825000000000006E-2</v>
      </c>
      <c r="H138" s="123">
        <v>2.1139000000000001</v>
      </c>
      <c r="I138" s="121"/>
      <c r="J138" s="118" t="s">
        <v>24</v>
      </c>
      <c r="K138" s="123" t="s">
        <v>24</v>
      </c>
      <c r="L138" s="249" t="s">
        <v>260</v>
      </c>
      <c r="M138" s="249" t="s">
        <v>261</v>
      </c>
    </row>
    <row r="139" spans="1:13" x14ac:dyDescent="0.25">
      <c r="A139" s="116" t="s">
        <v>193</v>
      </c>
      <c r="B139" s="118">
        <v>1973</v>
      </c>
      <c r="C139" s="118">
        <f>4+4</f>
        <v>8</v>
      </c>
      <c r="D139" s="121">
        <v>3.403</v>
      </c>
      <c r="E139" s="118">
        <v>0.79700000000000015</v>
      </c>
      <c r="F139" s="244">
        <v>1.0800000000000001E-2</v>
      </c>
      <c r="G139" s="123">
        <v>8.0999999999999996E-3</v>
      </c>
      <c r="H139" s="123">
        <v>0.78620000000000001</v>
      </c>
      <c r="I139" s="121"/>
      <c r="J139" s="118" t="s">
        <v>24</v>
      </c>
      <c r="K139" s="123" t="s">
        <v>24</v>
      </c>
      <c r="L139" s="249" t="s">
        <v>250</v>
      </c>
      <c r="M139" s="249" t="s">
        <v>251</v>
      </c>
    </row>
    <row r="140" spans="1:13" x14ac:dyDescent="0.25">
      <c r="A140" s="116" t="s">
        <v>194</v>
      </c>
      <c r="B140" s="118">
        <v>1981</v>
      </c>
      <c r="C140" s="118">
        <f>1.6+1.6</f>
        <v>3.2</v>
      </c>
      <c r="D140" s="121">
        <v>0.67</v>
      </c>
      <c r="E140" s="118">
        <v>1.0100000000000002</v>
      </c>
      <c r="F140" s="244">
        <v>1.1800000000000001E-2</v>
      </c>
      <c r="G140" s="123">
        <v>8.8500000000000002E-3</v>
      </c>
      <c r="H140" s="123">
        <v>0.99820000000000009</v>
      </c>
      <c r="I140" s="121"/>
      <c r="J140" s="118" t="s">
        <v>24</v>
      </c>
      <c r="K140" s="123" t="s">
        <v>24</v>
      </c>
      <c r="L140" s="249" t="s">
        <v>276</v>
      </c>
      <c r="M140" s="249" t="s">
        <v>277</v>
      </c>
    </row>
    <row r="141" spans="1:13" ht="30" x14ac:dyDescent="0.25">
      <c r="A141" s="116" t="s">
        <v>196</v>
      </c>
      <c r="B141" s="118">
        <v>1980</v>
      </c>
      <c r="C141" s="118">
        <f>2.5+2.5</f>
        <v>5</v>
      </c>
      <c r="D141" s="121">
        <v>0.91900000000000004</v>
      </c>
      <c r="E141" s="118">
        <v>1.706</v>
      </c>
      <c r="F141" s="244">
        <v>0</v>
      </c>
      <c r="G141" s="123">
        <v>0</v>
      </c>
      <c r="H141" s="123">
        <v>1.706</v>
      </c>
      <c r="I141" s="121"/>
      <c r="J141" s="118" t="s">
        <v>24</v>
      </c>
      <c r="K141" s="123" t="s">
        <v>24</v>
      </c>
      <c r="L141" s="249" t="s">
        <v>262</v>
      </c>
      <c r="M141" s="249" t="s">
        <v>263</v>
      </c>
    </row>
    <row r="142" spans="1:13" x14ac:dyDescent="0.25">
      <c r="A142" s="116" t="s">
        <v>198</v>
      </c>
      <c r="B142" s="118">
        <v>1960</v>
      </c>
      <c r="C142" s="118">
        <f>6.3+6.3</f>
        <v>12.6</v>
      </c>
      <c r="D142" s="121">
        <v>6.452</v>
      </c>
      <c r="E142" s="118">
        <v>0.16300000000000026</v>
      </c>
      <c r="F142" s="244">
        <v>0</v>
      </c>
      <c r="G142" s="123">
        <v>0</v>
      </c>
      <c r="H142" s="123">
        <v>0.16300000000000026</v>
      </c>
      <c r="I142" s="121"/>
      <c r="J142" s="118" t="s">
        <v>24</v>
      </c>
      <c r="K142" s="123" t="s">
        <v>24</v>
      </c>
      <c r="L142" s="249" t="s">
        <v>286</v>
      </c>
      <c r="M142" s="249" t="s">
        <v>287</v>
      </c>
    </row>
    <row r="143" spans="1:13" ht="30" x14ac:dyDescent="0.25">
      <c r="A143" s="116" t="s">
        <v>200</v>
      </c>
      <c r="B143" s="118">
        <v>1977</v>
      </c>
      <c r="C143" s="118">
        <f>2.5+2.5</f>
        <v>5</v>
      </c>
      <c r="D143" s="121">
        <v>1.069</v>
      </c>
      <c r="E143" s="118">
        <v>1.556</v>
      </c>
      <c r="F143" s="244">
        <v>8.3800000000000013E-2</v>
      </c>
      <c r="G143" s="123">
        <v>6.2850000000000017E-2</v>
      </c>
      <c r="H143" s="123">
        <v>1.4722</v>
      </c>
      <c r="I143" s="121"/>
      <c r="J143" s="118" t="s">
        <v>24</v>
      </c>
      <c r="K143" s="123" t="s">
        <v>24</v>
      </c>
      <c r="L143" s="249" t="s">
        <v>336</v>
      </c>
      <c r="M143" s="249" t="s">
        <v>337</v>
      </c>
    </row>
    <row r="144" spans="1:13" x14ac:dyDescent="0.25">
      <c r="A144" s="116" t="s">
        <v>201</v>
      </c>
      <c r="B144" s="118">
        <v>1963</v>
      </c>
      <c r="C144" s="118">
        <f>2.5+1.6</f>
        <v>4.0999999999999996</v>
      </c>
      <c r="D144" s="121">
        <v>0.93200000000000005</v>
      </c>
      <c r="E144" s="118">
        <v>0.74800000000000011</v>
      </c>
      <c r="F144" s="244">
        <v>5.7600000000000019E-2</v>
      </c>
      <c r="G144" s="123">
        <v>4.3200000000000016E-2</v>
      </c>
      <c r="H144" s="123">
        <v>0.69040000000000012</v>
      </c>
      <c r="I144" s="121"/>
      <c r="J144" s="118" t="s">
        <v>24</v>
      </c>
      <c r="K144" s="123" t="s">
        <v>24</v>
      </c>
      <c r="L144" s="249" t="s">
        <v>242</v>
      </c>
      <c r="M144" s="249" t="s">
        <v>243</v>
      </c>
    </row>
    <row r="145" spans="1:13" x14ac:dyDescent="0.25">
      <c r="A145" s="116" t="s">
        <v>202</v>
      </c>
      <c r="B145" s="118">
        <v>1972</v>
      </c>
      <c r="C145" s="118">
        <f>6.3+6.3</f>
        <v>12.6</v>
      </c>
      <c r="D145" s="121">
        <v>4.12</v>
      </c>
      <c r="E145" s="118">
        <v>2.4950000000000001</v>
      </c>
      <c r="F145" s="244">
        <v>0.207153</v>
      </c>
      <c r="G145" s="123">
        <v>0.15536475</v>
      </c>
      <c r="H145" s="123">
        <v>2.2878470000000002</v>
      </c>
      <c r="I145" s="121"/>
      <c r="J145" s="118" t="s">
        <v>24</v>
      </c>
      <c r="K145" s="123" t="s">
        <v>24</v>
      </c>
      <c r="L145" s="249" t="s">
        <v>292</v>
      </c>
      <c r="M145" s="249" t="s">
        <v>293</v>
      </c>
    </row>
    <row r="146" spans="1:13" x14ac:dyDescent="0.25">
      <c r="A146" s="116" t="s">
        <v>203</v>
      </c>
      <c r="B146" s="118">
        <v>1990</v>
      </c>
      <c r="C146" s="118">
        <f>1.6+1.6</f>
        <v>3.2</v>
      </c>
      <c r="D146" s="121">
        <v>0.60799999999999998</v>
      </c>
      <c r="E146" s="118">
        <v>1.0720000000000001</v>
      </c>
      <c r="F146" s="244">
        <v>5.4000000000000003E-3</v>
      </c>
      <c r="G146" s="123">
        <v>4.0499999999999998E-3</v>
      </c>
      <c r="H146" s="123">
        <v>1.0666000000000002</v>
      </c>
      <c r="I146" s="121"/>
      <c r="J146" s="118" t="s">
        <v>24</v>
      </c>
      <c r="K146" s="123" t="s">
        <v>24</v>
      </c>
      <c r="L146" s="249" t="s">
        <v>328</v>
      </c>
      <c r="M146" s="249" t="s">
        <v>329</v>
      </c>
    </row>
    <row r="147" spans="1:13" x14ac:dyDescent="0.25">
      <c r="A147" s="116" t="s">
        <v>204</v>
      </c>
      <c r="B147" s="118">
        <v>1985</v>
      </c>
      <c r="C147" s="118">
        <f>2.5+2.5</f>
        <v>5</v>
      </c>
      <c r="D147" s="121">
        <v>0.66300000000000003</v>
      </c>
      <c r="E147" s="118">
        <v>1.962</v>
      </c>
      <c r="F147" s="244">
        <v>9.0000000000000462E-3</v>
      </c>
      <c r="G147" s="123">
        <v>6.7500000000000346E-3</v>
      </c>
      <c r="H147" s="123">
        <v>1.9529999999999998</v>
      </c>
      <c r="I147" s="121"/>
      <c r="J147" s="118" t="s">
        <v>24</v>
      </c>
      <c r="K147" s="123" t="s">
        <v>24</v>
      </c>
      <c r="L147" s="249" t="s">
        <v>278</v>
      </c>
      <c r="M147" s="249" t="s">
        <v>279</v>
      </c>
    </row>
    <row r="148" spans="1:13" x14ac:dyDescent="0.25">
      <c r="A148" s="116" t="s">
        <v>205</v>
      </c>
      <c r="B148" s="118">
        <v>1968</v>
      </c>
      <c r="C148" s="118">
        <f>4+4+3.2</f>
        <v>11.2</v>
      </c>
      <c r="D148" s="121">
        <v>6.5430000000000001</v>
      </c>
      <c r="E148" s="118">
        <v>1.0170000000000003</v>
      </c>
      <c r="F148" s="244">
        <v>0.15690000000000004</v>
      </c>
      <c r="G148" s="123">
        <v>0.11767500000000003</v>
      </c>
      <c r="H148" s="123">
        <v>0.86010000000000009</v>
      </c>
      <c r="I148" s="121"/>
      <c r="J148" s="118" t="s">
        <v>24</v>
      </c>
      <c r="K148" s="123" t="s">
        <v>24</v>
      </c>
      <c r="L148" s="249" t="s">
        <v>300</v>
      </c>
      <c r="M148" s="249" t="s">
        <v>301</v>
      </c>
    </row>
    <row r="149" spans="1:13" x14ac:dyDescent="0.25">
      <c r="A149" s="116" t="s">
        <v>208</v>
      </c>
      <c r="B149" s="118">
        <v>1974</v>
      </c>
      <c r="C149" s="118">
        <f>2.5+2.5</f>
        <v>5</v>
      </c>
      <c r="D149" s="121">
        <v>0.77900000000000003</v>
      </c>
      <c r="E149" s="118">
        <v>1.8460000000000001</v>
      </c>
      <c r="F149" s="244">
        <v>3.4107000000000012E-2</v>
      </c>
      <c r="G149" s="123">
        <v>2.5580250000000009E-2</v>
      </c>
      <c r="H149" s="123">
        <v>1.811893</v>
      </c>
      <c r="I149" s="121"/>
      <c r="J149" s="118" t="s">
        <v>24</v>
      </c>
      <c r="K149" s="123" t="s">
        <v>24</v>
      </c>
      <c r="L149" s="249" t="s">
        <v>296</v>
      </c>
      <c r="M149" s="249" t="s">
        <v>297</v>
      </c>
    </row>
    <row r="150" spans="1:13" x14ac:dyDescent="0.25">
      <c r="A150" s="116" t="s">
        <v>209</v>
      </c>
      <c r="B150" s="118">
        <v>1978</v>
      </c>
      <c r="C150" s="118">
        <f>2.5+2.5</f>
        <v>5</v>
      </c>
      <c r="D150" s="121">
        <v>1.0640000000000001</v>
      </c>
      <c r="E150" s="118">
        <v>1.5609999999999999</v>
      </c>
      <c r="F150" s="244">
        <v>5.980000000000002E-2</v>
      </c>
      <c r="G150" s="123">
        <v>4.4850000000000015E-2</v>
      </c>
      <c r="H150" s="123">
        <v>1.5011999999999999</v>
      </c>
      <c r="I150" s="121"/>
      <c r="J150" s="118" t="s">
        <v>24</v>
      </c>
      <c r="K150" s="123" t="s">
        <v>24</v>
      </c>
      <c r="L150" s="249" t="s">
        <v>326</v>
      </c>
      <c r="M150" s="249" t="s">
        <v>327</v>
      </c>
    </row>
    <row r="151" spans="1:13" x14ac:dyDescent="0.25">
      <c r="C151" s="119">
        <f>SUM(C6:C150)</f>
        <v>2312.5999999999976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J20" sqref="J20"/>
    </sheetView>
  </sheetViews>
  <sheetFormatPr defaultRowHeight="15" x14ac:dyDescent="0.2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2" ht="47.25" customHeight="1" x14ac:dyDescent="0.25">
      <c r="A1" s="207" t="s">
        <v>517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2" s="56" customFormat="1" ht="15" customHeight="1" x14ac:dyDescent="0.25">
      <c r="A2" s="208" t="s">
        <v>1</v>
      </c>
      <c r="B2" s="211" t="s">
        <v>2</v>
      </c>
      <c r="C2" s="212"/>
      <c r="D2" s="55"/>
      <c r="E2" s="55"/>
      <c r="F2" s="55"/>
      <c r="G2" s="55"/>
      <c r="H2" s="55"/>
      <c r="I2" s="55"/>
      <c r="J2" s="217" t="s">
        <v>61</v>
      </c>
    </row>
    <row r="3" spans="1:12" s="56" customFormat="1" ht="15" customHeight="1" x14ac:dyDescent="0.25">
      <c r="A3" s="209"/>
      <c r="B3" s="213"/>
      <c r="C3" s="214"/>
      <c r="D3" s="57"/>
      <c r="E3" s="57"/>
      <c r="F3" s="57"/>
      <c r="G3" s="57"/>
      <c r="H3" s="57"/>
      <c r="I3" s="57"/>
      <c r="J3" s="218"/>
    </row>
    <row r="4" spans="1:12" s="56" customFormat="1" ht="194.25" customHeight="1" x14ac:dyDescent="0.25">
      <c r="A4" s="210"/>
      <c r="B4" s="215"/>
      <c r="C4" s="216"/>
      <c r="D4" s="58"/>
      <c r="E4" s="58"/>
      <c r="F4" s="58"/>
      <c r="G4" s="58"/>
      <c r="H4" s="58"/>
      <c r="I4" s="58"/>
      <c r="J4" s="219"/>
    </row>
    <row r="5" spans="1:12" s="59" customFormat="1" ht="15" customHeight="1" x14ac:dyDescent="0.25">
      <c r="A5" s="220" t="s">
        <v>62</v>
      </c>
      <c r="B5" s="221"/>
      <c r="C5" s="221"/>
      <c r="D5" s="221"/>
      <c r="E5" s="221"/>
      <c r="F5" s="221"/>
      <c r="G5" s="221"/>
      <c r="H5" s="221"/>
      <c r="I5" s="221"/>
      <c r="J5" s="222"/>
    </row>
    <row r="6" spans="1:12" s="59" customFormat="1" x14ac:dyDescent="0.25">
      <c r="A6" s="18">
        <v>1</v>
      </c>
      <c r="B6" s="34" t="s">
        <v>214</v>
      </c>
      <c r="C6" s="63" t="s">
        <v>47</v>
      </c>
      <c r="D6" s="64">
        <v>34.57</v>
      </c>
      <c r="E6" s="65">
        <v>0</v>
      </c>
      <c r="F6" s="65">
        <v>0</v>
      </c>
      <c r="G6" s="64">
        <f t="shared" ref="G6:G20" si="0">D6-E6</f>
        <v>34.57</v>
      </c>
      <c r="H6" s="65">
        <v>0</v>
      </c>
      <c r="I6" s="66">
        <f>1.05*25</f>
        <v>26.25</v>
      </c>
      <c r="J6" s="90">
        <f>брянск!N53</f>
        <v>-4.2959999999999994</v>
      </c>
    </row>
    <row r="7" spans="1:12" s="59" customFormat="1" x14ac:dyDescent="0.25">
      <c r="A7" s="18">
        <v>2</v>
      </c>
      <c r="B7" s="34" t="s">
        <v>215</v>
      </c>
      <c r="C7" s="63" t="s">
        <v>30</v>
      </c>
      <c r="D7" s="64">
        <v>25.56</v>
      </c>
      <c r="E7" s="65">
        <v>1.5</v>
      </c>
      <c r="F7" s="65" t="s">
        <v>59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брянск!N55</f>
        <v>-2.3550000000000004</v>
      </c>
    </row>
    <row r="8" spans="1:12" s="59" customFormat="1" x14ac:dyDescent="0.25">
      <c r="A8" s="65">
        <v>3</v>
      </c>
      <c r="B8" s="34" t="s">
        <v>216</v>
      </c>
      <c r="C8" s="63" t="s">
        <v>45</v>
      </c>
      <c r="D8" s="82">
        <v>4.3380000000000001</v>
      </c>
      <c r="E8" s="65">
        <v>0</v>
      </c>
      <c r="F8" s="65">
        <v>0</v>
      </c>
      <c r="G8" s="64">
        <f t="shared" si="0"/>
        <v>4.3380000000000001</v>
      </c>
      <c r="H8" s="65">
        <v>0</v>
      </c>
      <c r="I8" s="66">
        <f>1.05*4</f>
        <v>4.2</v>
      </c>
      <c r="J8" s="90">
        <f>брянск!N56</f>
        <v>-1.0220000000000002</v>
      </c>
    </row>
    <row r="9" spans="1:12" s="59" customFormat="1" x14ac:dyDescent="0.25">
      <c r="A9" s="169">
        <v>4</v>
      </c>
      <c r="B9" s="34" t="s">
        <v>74</v>
      </c>
      <c r="C9" s="63" t="s">
        <v>60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223">
        <f>брянск!N57</f>
        <v>-3.0079999999999956</v>
      </c>
      <c r="K9" s="91"/>
      <c r="L9" s="91"/>
    </row>
    <row r="10" spans="1:12" s="59" customFormat="1" x14ac:dyDescent="0.25">
      <c r="A10" s="170"/>
      <c r="B10" s="67" t="s">
        <v>56</v>
      </c>
      <c r="C10" s="63" t="s">
        <v>60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224"/>
      <c r="K10" s="91"/>
      <c r="L10" s="91"/>
    </row>
    <row r="11" spans="1:12" s="59" customFormat="1" x14ac:dyDescent="0.25">
      <c r="A11" s="171"/>
      <c r="B11" s="67" t="s">
        <v>44</v>
      </c>
      <c r="C11" s="63" t="s">
        <v>60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225"/>
      <c r="K11" s="91"/>
      <c r="L11" s="91"/>
    </row>
    <row r="12" spans="1:12" s="59" customFormat="1" x14ac:dyDescent="0.25">
      <c r="A12" s="169">
        <v>5</v>
      </c>
      <c r="B12" s="34" t="s">
        <v>217</v>
      </c>
      <c r="C12" s="63" t="s">
        <v>31</v>
      </c>
      <c r="D12" s="64">
        <f>D13+D14</f>
        <v>36.72</v>
      </c>
      <c r="E12" s="65">
        <f>E13+E14</f>
        <v>8.9</v>
      </c>
      <c r="F12" s="65" t="s">
        <v>59</v>
      </c>
      <c r="G12" s="64">
        <f t="shared" si="0"/>
        <v>27.82</v>
      </c>
      <c r="H12" s="65">
        <v>0</v>
      </c>
      <c r="I12" s="66">
        <f>1.05*25</f>
        <v>26.25</v>
      </c>
      <c r="J12" s="223">
        <f>брянск!N63</f>
        <v>-2.1649999999999991</v>
      </c>
    </row>
    <row r="13" spans="1:12" s="59" customFormat="1" x14ac:dyDescent="0.25">
      <c r="A13" s="170"/>
      <c r="B13" s="67" t="s">
        <v>56</v>
      </c>
      <c r="C13" s="63" t="s">
        <v>31</v>
      </c>
      <c r="D13" s="64">
        <v>8.85</v>
      </c>
      <c r="E13" s="65">
        <v>8.9</v>
      </c>
      <c r="F13" s="65" t="s">
        <v>59</v>
      </c>
      <c r="G13" s="64">
        <f t="shared" si="0"/>
        <v>-5.0000000000000711E-2</v>
      </c>
      <c r="H13" s="65">
        <v>0</v>
      </c>
      <c r="I13" s="66">
        <f>1.05*25</f>
        <v>26.25</v>
      </c>
      <c r="J13" s="224"/>
    </row>
    <row r="14" spans="1:12" x14ac:dyDescent="0.25">
      <c r="A14" s="171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225"/>
    </row>
    <row r="15" spans="1:12" x14ac:dyDescent="0.25">
      <c r="A15" s="18">
        <v>6</v>
      </c>
      <c r="B15" s="34" t="s">
        <v>218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брянск!N75</f>
        <v>-6.1840000000000011</v>
      </c>
    </row>
    <row r="16" spans="1:12" x14ac:dyDescent="0.25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брянск!N13</f>
        <v>-2.2869999999999999</v>
      </c>
    </row>
    <row r="17" spans="1:10" x14ac:dyDescent="0.25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брянск!N106</f>
        <v>-0.37899999999999956</v>
      </c>
    </row>
    <row r="18" spans="1:10" x14ac:dyDescent="0.25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брянск!N125</f>
        <v>-1.3969999999999985</v>
      </c>
    </row>
    <row r="19" spans="1:10" x14ac:dyDescent="0.25">
      <c r="A19" s="18">
        <v>10</v>
      </c>
      <c r="B19" s="68" t="s">
        <v>219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6.6150000000000002</v>
      </c>
      <c r="J19" s="79">
        <f>брянск!N139</f>
        <v>-4.2409999999999997</v>
      </c>
    </row>
    <row r="20" spans="1:10" x14ac:dyDescent="0.25">
      <c r="A20" s="18">
        <v>11</v>
      </c>
      <c r="B20" s="68" t="s">
        <v>220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брянск!N141</f>
        <v>-2.9090000000000007</v>
      </c>
    </row>
    <row r="21" spans="1:10" x14ac:dyDescent="0.25">
      <c r="A21" s="205" t="s">
        <v>63</v>
      </c>
      <c r="B21" s="206"/>
      <c r="C21" s="83">
        <f>65+32+10.3+103+50+20+10+20+32+16.3+20</f>
        <v>378.6</v>
      </c>
      <c r="D21" s="84"/>
      <c r="E21" s="61"/>
      <c r="F21" s="62"/>
      <c r="G21" s="62"/>
      <c r="H21" s="62"/>
      <c r="I21" s="61"/>
      <c r="J21" s="95">
        <f>J6+J7+J8+J9+J12+J15+J16+J17+J18+J19+J20</f>
        <v>-30.242999999999988</v>
      </c>
    </row>
  </sheetData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workbookViewId="0">
      <selection activeCell="L19" sqref="L19"/>
    </sheetView>
  </sheetViews>
  <sheetFormatPr defaultRowHeight="15" x14ac:dyDescent="0.2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 x14ac:dyDescent="0.25">
      <c r="A1" s="207" t="s">
        <v>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 x14ac:dyDescent="0.2">
      <c r="A2" s="226" t="s">
        <v>1</v>
      </c>
      <c r="B2" s="229" t="s">
        <v>2</v>
      </c>
      <c r="C2" s="230" t="s">
        <v>17</v>
      </c>
      <c r="D2" s="231"/>
      <c r="E2" s="231"/>
      <c r="F2" s="231"/>
      <c r="G2" s="231"/>
      <c r="H2" s="231"/>
      <c r="I2" s="231"/>
      <c r="J2" s="231"/>
      <c r="K2" s="231"/>
      <c r="L2" s="232"/>
      <c r="M2" s="148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 x14ac:dyDescent="0.2">
      <c r="A3" s="227"/>
      <c r="B3" s="229"/>
      <c r="C3" s="229" t="s">
        <v>19</v>
      </c>
      <c r="D3" s="229" t="s">
        <v>20</v>
      </c>
      <c r="E3" s="229" t="s">
        <v>21</v>
      </c>
      <c r="F3" s="229" t="s">
        <v>22</v>
      </c>
      <c r="G3" s="229"/>
      <c r="H3" s="229" t="s">
        <v>23</v>
      </c>
      <c r="I3" s="229" t="s">
        <v>8</v>
      </c>
      <c r="J3" s="229" t="s">
        <v>9</v>
      </c>
      <c r="K3" s="229" t="s">
        <v>65</v>
      </c>
      <c r="L3" s="233" t="s">
        <v>66</v>
      </c>
      <c r="M3" s="149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 x14ac:dyDescent="0.2">
      <c r="A4" s="228"/>
      <c r="B4" s="229"/>
      <c r="C4" s="229"/>
      <c r="D4" s="229"/>
      <c r="E4" s="229"/>
      <c r="F4" s="75" t="s">
        <v>10</v>
      </c>
      <c r="G4" s="75" t="s">
        <v>11</v>
      </c>
      <c r="H4" s="229"/>
      <c r="I4" s="229"/>
      <c r="J4" s="229"/>
      <c r="K4" s="229"/>
      <c r="L4" s="234"/>
      <c r="M4" s="150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 x14ac:dyDescent="0.2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 x14ac:dyDescent="0.25">
      <c r="A6" s="235" t="s">
        <v>62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76"/>
      <c r="M6" s="76"/>
      <c r="N6" s="76"/>
    </row>
    <row r="7" spans="1:1024" s="60" customFormat="1" x14ac:dyDescent="0.25">
      <c r="A7" s="18">
        <v>1</v>
      </c>
      <c r="B7" s="34" t="s">
        <v>214</v>
      </c>
      <c r="C7" s="63" t="s">
        <v>47</v>
      </c>
      <c r="D7" s="63">
        <v>3.1819999999999999</v>
      </c>
      <c r="E7" s="79" t="e">
        <f>D7+#REF!</f>
        <v>#REF!</v>
      </c>
      <c r="F7" s="65">
        <v>0</v>
      </c>
      <c r="G7" s="65">
        <v>0</v>
      </c>
      <c r="H7" s="64" t="e">
        <f t="shared" ref="H7:H21" si="0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10">
        <f>брянск!AB53</f>
        <v>-9.238900000000001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ht="15.75" customHeight="1" x14ac:dyDescent="0.25">
      <c r="A8" s="18">
        <v>2</v>
      </c>
      <c r="B8" s="34" t="s">
        <v>215</v>
      </c>
      <c r="C8" s="63" t="s">
        <v>30</v>
      </c>
      <c r="D8" s="63">
        <v>0.80600000000000005</v>
      </c>
      <c r="E8" s="79" t="e">
        <f>D8+#REF!</f>
        <v>#REF!</v>
      </c>
      <c r="F8" s="65">
        <v>1.5</v>
      </c>
      <c r="G8" s="65" t="s">
        <v>59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10">
        <f>брянск!AB55</f>
        <v>-10.267300000000002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 x14ac:dyDescent="0.25">
      <c r="A9" s="65">
        <v>3</v>
      </c>
      <c r="B9" s="34" t="s">
        <v>221</v>
      </c>
      <c r="C9" s="63" t="s">
        <v>45</v>
      </c>
      <c r="D9" s="81">
        <f>0.412+0.096+0.016</f>
        <v>0.52400000000000002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110">
        <f>брянск!AB56</f>
        <v>-3.8674830000000009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 x14ac:dyDescent="0.25">
      <c r="A10" s="169">
        <v>4</v>
      </c>
      <c r="B10" s="34" t="s">
        <v>222</v>
      </c>
      <c r="C10" s="63" t="s">
        <v>60</v>
      </c>
      <c r="D10" s="81">
        <v>3.226</v>
      </c>
      <c r="E10" s="82">
        <v>42.735999999999997</v>
      </c>
      <c r="F10" s="65">
        <f>F11+F12</f>
        <v>0</v>
      </c>
      <c r="G10" s="65">
        <v>0</v>
      </c>
      <c r="H10" s="64">
        <f t="shared" si="0"/>
        <v>42.735999999999997</v>
      </c>
      <c r="I10" s="65">
        <v>0</v>
      </c>
      <c r="J10" s="66">
        <f>1.05*40</f>
        <v>42</v>
      </c>
      <c r="K10" s="53">
        <f>J10-H10-I10</f>
        <v>-0.7359999999999971</v>
      </c>
      <c r="L10" s="236">
        <f>брянск!AB57</f>
        <v>-15.255420999999998</v>
      </c>
      <c r="M10" s="202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 x14ac:dyDescent="0.25">
      <c r="A11" s="170"/>
      <c r="B11" s="67" t="s">
        <v>56</v>
      </c>
      <c r="C11" s="63" t="s">
        <v>60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237"/>
      <c r="M11" s="203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 x14ac:dyDescent="0.25">
      <c r="A12" s="171"/>
      <c r="B12" s="67" t="s">
        <v>44</v>
      </c>
      <c r="C12" s="63" t="s">
        <v>60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238"/>
      <c r="M12" s="204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 x14ac:dyDescent="0.25">
      <c r="A13" s="169">
        <v>5</v>
      </c>
      <c r="B13" s="34" t="s">
        <v>217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59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36">
        <f>брянск!AB63</f>
        <v>-2.8483769999999993</v>
      </c>
      <c r="M13" s="169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 x14ac:dyDescent="0.25">
      <c r="A14" s="170"/>
      <c r="B14" s="67" t="s">
        <v>56</v>
      </c>
      <c r="C14" s="63" t="s">
        <v>31</v>
      </c>
      <c r="D14" s="63"/>
      <c r="E14" s="79" t="e">
        <f>D14+#REF!</f>
        <v>#REF!</v>
      </c>
      <c r="F14" s="65">
        <v>8.9</v>
      </c>
      <c r="G14" s="65" t="s">
        <v>59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237"/>
      <c r="M14" s="17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 x14ac:dyDescent="0.25">
      <c r="A15" s="171"/>
      <c r="B15" s="67" t="s">
        <v>44</v>
      </c>
      <c r="C15" s="63" t="s">
        <v>31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38"/>
      <c r="M15" s="171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 x14ac:dyDescent="0.25">
      <c r="A16" s="18">
        <v>6</v>
      </c>
      <c r="B16" s="34" t="s">
        <v>218</v>
      </c>
      <c r="C16" s="63" t="s">
        <v>26</v>
      </c>
      <c r="D16" s="63">
        <v>0.45700000000000002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10">
        <f>брянск!AB75</f>
        <v>-11.291500000000003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 x14ac:dyDescent="0.25">
      <c r="A17" s="65">
        <v>7</v>
      </c>
      <c r="B17" s="34" t="s">
        <v>223</v>
      </c>
      <c r="C17" s="63" t="s">
        <v>26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10">
        <f>брянск!AB106</f>
        <v>-0.3855000000000004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 x14ac:dyDescent="0.25">
      <c r="A18" s="18">
        <v>8</v>
      </c>
      <c r="B18" s="34" t="str">
        <f>брянск!R125</f>
        <v>ПС 110/35/6 кВ Сураж</v>
      </c>
      <c r="C18" s="63" t="str">
        <f>брянск!S125</f>
        <v>16+16</v>
      </c>
      <c r="D18" s="63">
        <v>0.23799999999999999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10">
        <f>брянск!AB125</f>
        <v>-1.3969999999999985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 x14ac:dyDescent="0.25">
      <c r="A19" s="18">
        <v>9</v>
      </c>
      <c r="B19" s="34" t="str">
        <f>брянск!R13</f>
        <v>ПС 110/6 кВ Энергоремонт</v>
      </c>
      <c r="C19" s="63">
        <f>брянск!S13</f>
        <v>10</v>
      </c>
      <c r="D19" s="63"/>
      <c r="E19" s="79"/>
      <c r="F19" s="65"/>
      <c r="G19" s="65"/>
      <c r="H19" s="64"/>
      <c r="I19" s="65"/>
      <c r="J19" s="66"/>
      <c r="K19" s="2"/>
      <c r="L19" s="110">
        <f>брянск!AB13</f>
        <v>-3.6997999999999998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 x14ac:dyDescent="0.25">
      <c r="A20" s="18">
        <v>10</v>
      </c>
      <c r="B20" s="68" t="s">
        <v>219</v>
      </c>
      <c r="C20" s="69" t="s">
        <v>46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6.6150000000000002</v>
      </c>
      <c r="K20" s="71" t="e">
        <f>J20-I20-H20</f>
        <v>#REF!</v>
      </c>
      <c r="L20" s="111">
        <f>брянск!AB139</f>
        <v>-4.2409999999999997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s="60" customFormat="1" x14ac:dyDescent="0.25">
      <c r="A21" s="18">
        <v>11</v>
      </c>
      <c r="B21" s="68" t="s">
        <v>220</v>
      </c>
      <c r="C21" s="69" t="s">
        <v>26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111">
        <f>брянск!AB141</f>
        <v>-2.9090000000000007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</row>
    <row r="22" spans="1:1024" x14ac:dyDescent="0.25">
      <c r="A22" s="52"/>
      <c r="B22" s="77" t="s">
        <v>43</v>
      </c>
      <c r="C22" s="54">
        <f>25+40+16+16+6.3+4+40+63+25+25+10+10+10+10+16+16+10+10+6.3+10+10+10+10</f>
        <v>398.6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-65.401280999999997</v>
      </c>
      <c r="M22" s="77"/>
      <c r="N22" s="76"/>
    </row>
    <row r="23" spans="1:1024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брянск</vt:lpstr>
      <vt:lpstr>Интерактивная карта</vt:lpstr>
      <vt:lpstr>Свод тек.деф.зима</vt:lpstr>
      <vt:lpstr>Свод.ожид.тек.зима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2013-03-06T06:15:52Z</dcterms:modified>
</cp:coreProperties>
</file>